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51200" windowHeight="32000" tabRatio="869" firstSheet="1" activeTab="4"/>
  </bookViews>
  <sheets>
    <sheet name="Inštrukcie na vypĺňanie" sheetId="2" state="hidden" r:id="rId1"/>
    <sheet name="Konštanty" sheetId="10" r:id="rId2"/>
    <sheet name="eSluzby" sheetId="21" r:id="rId3"/>
    <sheet name="Vstupy CBA" sheetId="22" r:id="rId4"/>
    <sheet name="Výpočet CBA" sheetId="14" r:id="rId5"/>
  </sheets>
  <definedNames>
    <definedName name="Cisel_mies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4" l="1"/>
  <c r="D15" i="14"/>
  <c r="J50" i="22"/>
  <c r="J51" i="22"/>
  <c r="J52" i="22"/>
  <c r="J53" i="22"/>
  <c r="J49" i="22"/>
  <c r="E14" i="10"/>
  <c r="J54" i="22"/>
  <c r="J55" i="22"/>
  <c r="J56" i="22"/>
  <c r="J57" i="22"/>
  <c r="J58" i="22"/>
  <c r="K3" i="21"/>
  <c r="E18" i="10"/>
  <c r="E4" i="10"/>
  <c r="M3" i="21"/>
  <c r="E3" i="21"/>
  <c r="E4" i="21"/>
  <c r="E5" i="10"/>
  <c r="H3" i="21"/>
  <c r="M4" i="21"/>
  <c r="N4" i="21"/>
  <c r="L4" i="21"/>
  <c r="K4" i="21"/>
  <c r="L17" i="14"/>
  <c r="L9" i="14"/>
  <c r="L18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G5" i="14"/>
  <c r="G4" i="14"/>
  <c r="D4" i="14"/>
  <c r="J4" i="14"/>
  <c r="R5" i="21"/>
  <c r="Q5" i="21"/>
  <c r="F77" i="22"/>
  <c r="L24" i="14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61" i="22"/>
  <c r="J60" i="22"/>
  <c r="J59" i="22"/>
  <c r="J48" i="22"/>
  <c r="J47" i="22"/>
  <c r="J46" i="22"/>
  <c r="J76" i="22"/>
  <c r="J45" i="22"/>
  <c r="J75" i="22"/>
  <c r="J44" i="22"/>
  <c r="J74" i="22"/>
  <c r="J43" i="22"/>
  <c r="J73" i="22"/>
  <c r="J42" i="22"/>
  <c r="J72" i="22"/>
  <c r="J41" i="22"/>
  <c r="J71" i="22"/>
  <c r="J40" i="22"/>
  <c r="J70" i="22"/>
  <c r="J39" i="22"/>
  <c r="J69" i="22"/>
  <c r="J38" i="22"/>
  <c r="J68" i="22"/>
  <c r="J37" i="22"/>
  <c r="J67" i="22"/>
  <c r="J36" i="22"/>
  <c r="J66" i="22"/>
  <c r="J35" i="22"/>
  <c r="J65" i="22"/>
  <c r="J34" i="22"/>
  <c r="J64" i="22"/>
  <c r="J33" i="22"/>
  <c r="J63" i="22"/>
  <c r="J32" i="22"/>
  <c r="J62" i="22"/>
  <c r="M17" i="14"/>
  <c r="M15" i="14"/>
  <c r="M13" i="14"/>
  <c r="M11" i="14"/>
  <c r="M9" i="14"/>
  <c r="M7" i="14"/>
  <c r="M18" i="14"/>
  <c r="M16" i="14"/>
  <c r="M14" i="14"/>
  <c r="M12" i="14"/>
  <c r="M10" i="14"/>
  <c r="M8" i="14"/>
  <c r="M6" i="14"/>
  <c r="L5" i="14"/>
  <c r="M5" i="14"/>
  <c r="L13" i="14"/>
  <c r="L7" i="14"/>
  <c r="L11" i="14"/>
  <c r="L15" i="14"/>
  <c r="D5" i="14"/>
  <c r="L4" i="14"/>
  <c r="M4" i="14"/>
  <c r="L6" i="14"/>
  <c r="L8" i="14"/>
  <c r="L10" i="14"/>
  <c r="L12" i="14"/>
  <c r="L14" i="14"/>
  <c r="L16" i="14"/>
  <c r="F78" i="22"/>
  <c r="L25" i="14"/>
  <c r="G77" i="22"/>
  <c r="J5" i="14"/>
  <c r="E8" i="10"/>
  <c r="E12" i="10"/>
  <c r="F79" i="22"/>
  <c r="L26" i="14"/>
  <c r="J6" i="14"/>
  <c r="G79" i="22"/>
  <c r="M26" i="14"/>
  <c r="G78" i="22"/>
  <c r="H77" i="22"/>
  <c r="M24" i="14"/>
  <c r="F80" i="22"/>
  <c r="L27" i="14"/>
  <c r="G80" i="22"/>
  <c r="M27" i="14"/>
  <c r="M25" i="14"/>
  <c r="H78" i="22"/>
  <c r="H79" i="22"/>
  <c r="F81" i="22"/>
  <c r="I4" i="21"/>
  <c r="J4" i="21"/>
  <c r="J3" i="21"/>
  <c r="I3" i="21"/>
  <c r="G4" i="21"/>
  <c r="H4" i="21"/>
  <c r="G3" i="21"/>
  <c r="H80" i="22"/>
  <c r="L28" i="14"/>
  <c r="G81" i="22"/>
  <c r="M28" i="14"/>
  <c r="P5" i="21"/>
  <c r="L5" i="21"/>
  <c r="H5" i="21"/>
  <c r="G4" i="22"/>
  <c r="N5" i="21"/>
  <c r="J5" i="21"/>
  <c r="O5" i="21"/>
  <c r="K5" i="21"/>
  <c r="M5" i="21"/>
  <c r="F47" i="22"/>
  <c r="I5" i="21"/>
  <c r="F17" i="22"/>
  <c r="G5" i="21"/>
  <c r="F2" i="22"/>
  <c r="F82" i="22"/>
  <c r="H81" i="22"/>
  <c r="J7" i="14"/>
  <c r="J8" i="14"/>
  <c r="J9" i="14"/>
  <c r="J10" i="14"/>
  <c r="J11" i="14"/>
  <c r="J12" i="14"/>
  <c r="J13" i="14"/>
  <c r="J14" i="14"/>
  <c r="J15" i="14"/>
  <c r="J16" i="14"/>
  <c r="J17" i="14"/>
  <c r="J18" i="14"/>
  <c r="G69" i="22"/>
  <c r="G71" i="22"/>
  <c r="G73" i="22"/>
  <c r="G75" i="22"/>
  <c r="G72" i="22"/>
  <c r="G74" i="22"/>
  <c r="G70" i="22"/>
  <c r="G76" i="22"/>
  <c r="G64" i="22"/>
  <c r="G65" i="22"/>
  <c r="G66" i="22"/>
  <c r="G68" i="22"/>
  <c r="G67" i="22"/>
  <c r="I24" i="14"/>
  <c r="F32" i="22"/>
  <c r="O4" i="14"/>
  <c r="G5" i="22"/>
  <c r="L29" i="14"/>
  <c r="G82" i="22"/>
  <c r="M29" i="14"/>
  <c r="C24" i="14"/>
  <c r="G17" i="22"/>
  <c r="H17" i="22"/>
  <c r="F18" i="22"/>
  <c r="F63" i="22"/>
  <c r="G62" i="22"/>
  <c r="G47" i="22"/>
  <c r="H47" i="22"/>
  <c r="F48" i="22"/>
  <c r="F3" i="22"/>
  <c r="G2" i="22"/>
  <c r="F83" i="22"/>
  <c r="J24" i="14"/>
  <c r="K24" i="14"/>
  <c r="I25" i="14"/>
  <c r="H62" i="22"/>
  <c r="H82" i="22"/>
  <c r="G32" i="22"/>
  <c r="H32" i="22"/>
  <c r="F33" i="22"/>
  <c r="F34" i="22"/>
  <c r="L30" i="14"/>
  <c r="G83" i="22"/>
  <c r="M30" i="14"/>
  <c r="G6" i="22"/>
  <c r="H2" i="22"/>
  <c r="D24" i="14"/>
  <c r="G33" i="22"/>
  <c r="H33" i="22"/>
  <c r="C25" i="14"/>
  <c r="G63" i="22"/>
  <c r="F64" i="22"/>
  <c r="F19" i="22"/>
  <c r="G18" i="22"/>
  <c r="H18" i="22"/>
  <c r="G48" i="22"/>
  <c r="H48" i="22"/>
  <c r="F49" i="22"/>
  <c r="G3" i="22"/>
  <c r="P5" i="14"/>
  <c r="F4" i="22"/>
  <c r="F84" i="22"/>
  <c r="O6" i="14"/>
  <c r="P4" i="14"/>
  <c r="Q4" i="14"/>
  <c r="J25" i="14"/>
  <c r="O5" i="14"/>
  <c r="R5" i="14"/>
  <c r="R6" i="14"/>
  <c r="I26" i="14"/>
  <c r="H63" i="22"/>
  <c r="K25" i="14"/>
  <c r="H83" i="22"/>
  <c r="L31" i="14"/>
  <c r="G84" i="22"/>
  <c r="M31" i="14"/>
  <c r="G7" i="22"/>
  <c r="L53" i="22"/>
  <c r="C26" i="14"/>
  <c r="F65" i="22"/>
  <c r="H64" i="22"/>
  <c r="G34" i="22"/>
  <c r="P6" i="14"/>
  <c r="F35" i="22"/>
  <c r="H3" i="22"/>
  <c r="D25" i="14"/>
  <c r="E25" i="14"/>
  <c r="F20" i="22"/>
  <c r="G19" i="22"/>
  <c r="G49" i="22"/>
  <c r="H49" i="22"/>
  <c r="J26" i="14"/>
  <c r="F50" i="22"/>
  <c r="F5" i="22"/>
  <c r="H4" i="22"/>
  <c r="F85" i="22"/>
  <c r="H4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N25" i="14"/>
  <c r="H25" i="14"/>
  <c r="P24" i="14"/>
  <c r="H24" i="14"/>
  <c r="E24" i="14"/>
  <c r="N18" i="14"/>
  <c r="H18" i="14"/>
  <c r="E18" i="14"/>
  <c r="N17" i="14"/>
  <c r="K17" i="14"/>
  <c r="H17" i="14"/>
  <c r="E17" i="14"/>
  <c r="N16" i="14"/>
  <c r="H16" i="14"/>
  <c r="E16" i="14"/>
  <c r="N15" i="14"/>
  <c r="K15" i="14"/>
  <c r="H15" i="14"/>
  <c r="E15" i="14"/>
  <c r="N14" i="14"/>
  <c r="H14" i="14"/>
  <c r="E14" i="14"/>
  <c r="N13" i="14"/>
  <c r="K13" i="14"/>
  <c r="H13" i="14"/>
  <c r="E13" i="14"/>
  <c r="N12" i="14"/>
  <c r="H12" i="14"/>
  <c r="E12" i="14"/>
  <c r="N11" i="14"/>
  <c r="K11" i="14"/>
  <c r="H11" i="14"/>
  <c r="E11" i="14"/>
  <c r="N10" i="14"/>
  <c r="H10" i="14"/>
  <c r="E10" i="14"/>
  <c r="N9" i="14"/>
  <c r="K9" i="14"/>
  <c r="H9" i="14"/>
  <c r="E9" i="14"/>
  <c r="N8" i="14"/>
  <c r="H8" i="14"/>
  <c r="E8" i="14"/>
  <c r="N7" i="14"/>
  <c r="K7" i="14"/>
  <c r="H7" i="14"/>
  <c r="E7" i="14"/>
  <c r="N6" i="14"/>
  <c r="H6" i="14"/>
  <c r="E6" i="14"/>
  <c r="N5" i="14"/>
  <c r="R4" i="14"/>
  <c r="N4" i="14"/>
  <c r="O7" i="14"/>
  <c r="Q5" i="14"/>
  <c r="K26" i="14"/>
  <c r="P25" i="14"/>
  <c r="S25" i="14"/>
  <c r="I27" i="14"/>
  <c r="H84" i="22"/>
  <c r="L32" i="14"/>
  <c r="G85" i="22"/>
  <c r="M32" i="14"/>
  <c r="G8" i="22"/>
  <c r="C27" i="14"/>
  <c r="O27" i="14"/>
  <c r="R7" i="14"/>
  <c r="G20" i="22"/>
  <c r="F21" i="22"/>
  <c r="Q6" i="14"/>
  <c r="H34" i="22"/>
  <c r="H65" i="22"/>
  <c r="F66" i="22"/>
  <c r="D26" i="14"/>
  <c r="P26" i="14"/>
  <c r="H19" i="22"/>
  <c r="G35" i="22"/>
  <c r="P7" i="14"/>
  <c r="F36" i="22"/>
  <c r="G50" i="22"/>
  <c r="H50" i="22"/>
  <c r="J27" i="14"/>
  <c r="F51" i="22"/>
  <c r="F6" i="22"/>
  <c r="H5" i="22"/>
  <c r="F86" i="22"/>
  <c r="N27" i="14"/>
  <c r="E5" i="14"/>
  <c r="H5" i="14"/>
  <c r="K4" i="14"/>
  <c r="N24" i="14"/>
  <c r="N26" i="14"/>
  <c r="E4" i="14"/>
  <c r="K6" i="14"/>
  <c r="K10" i="14"/>
  <c r="K14" i="14"/>
  <c r="K18" i="14"/>
  <c r="K8" i="14"/>
  <c r="K12" i="14"/>
  <c r="K16" i="14"/>
  <c r="O24" i="14"/>
  <c r="R24" i="14"/>
  <c r="F44" i="14"/>
  <c r="O25" i="14"/>
  <c r="R25" i="14"/>
  <c r="F45" i="14"/>
  <c r="K5" i="14"/>
  <c r="S24" i="14"/>
  <c r="O26" i="14"/>
  <c r="O8" i="14"/>
  <c r="H85" i="22"/>
  <c r="I28" i="14"/>
  <c r="K27" i="14"/>
  <c r="T25" i="14"/>
  <c r="T24" i="14"/>
  <c r="R8" i="14"/>
  <c r="R27" i="14"/>
  <c r="F47" i="14"/>
  <c r="L33" i="14"/>
  <c r="G86" i="22"/>
  <c r="M33" i="14"/>
  <c r="G9" i="22"/>
  <c r="S6" i="14"/>
  <c r="T6" i="14"/>
  <c r="C47" i="14"/>
  <c r="G36" i="22"/>
  <c r="P8" i="14"/>
  <c r="F37" i="22"/>
  <c r="D27" i="14"/>
  <c r="H20" i="22"/>
  <c r="E26" i="14"/>
  <c r="C28" i="14"/>
  <c r="O28" i="14"/>
  <c r="R28" i="14"/>
  <c r="H35" i="22"/>
  <c r="F67" i="22"/>
  <c r="H66" i="22"/>
  <c r="G21" i="22"/>
  <c r="F22" i="22"/>
  <c r="G51" i="22"/>
  <c r="H51" i="22"/>
  <c r="F52" i="22"/>
  <c r="F7" i="22"/>
  <c r="O9" i="14"/>
  <c r="H6" i="22"/>
  <c r="F87" i="22"/>
  <c r="S5" i="14"/>
  <c r="T5" i="14"/>
  <c r="S4" i="14"/>
  <c r="T4" i="14"/>
  <c r="Q26" i="14"/>
  <c r="C46" i="14"/>
  <c r="C45" i="14"/>
  <c r="Q25" i="14"/>
  <c r="C44" i="14"/>
  <c r="Q24" i="14"/>
  <c r="S26" i="14"/>
  <c r="R26" i="14"/>
  <c r="F46" i="14"/>
  <c r="J28" i="14"/>
  <c r="K28" i="14"/>
  <c r="F48" i="14"/>
  <c r="R9" i="14"/>
  <c r="G44" i="14"/>
  <c r="H44" i="14"/>
  <c r="K44" i="14"/>
  <c r="G45" i="14"/>
  <c r="H45" i="14"/>
  <c r="K45" i="14"/>
  <c r="G46" i="14"/>
  <c r="H46" i="14"/>
  <c r="K46" i="14"/>
  <c r="T26" i="14"/>
  <c r="I29" i="14"/>
  <c r="H86" i="22"/>
  <c r="D46" i="14"/>
  <c r="E46" i="14"/>
  <c r="J46" i="14"/>
  <c r="L34" i="14"/>
  <c r="G87" i="22"/>
  <c r="M34" i="14"/>
  <c r="G10" i="22"/>
  <c r="C48" i="14"/>
  <c r="C29" i="14"/>
  <c r="O29" i="14"/>
  <c r="G22" i="22"/>
  <c r="F23" i="22"/>
  <c r="P27" i="14"/>
  <c r="S27" i="14"/>
  <c r="E27" i="14"/>
  <c r="H36" i="22"/>
  <c r="D28" i="14"/>
  <c r="H21" i="22"/>
  <c r="F68" i="22"/>
  <c r="H67" i="22"/>
  <c r="S7" i="14"/>
  <c r="T7" i="14"/>
  <c r="Q7" i="14"/>
  <c r="G37" i="22"/>
  <c r="P9" i="14"/>
  <c r="F38" i="22"/>
  <c r="G52" i="22"/>
  <c r="H52" i="22"/>
  <c r="F53" i="22"/>
  <c r="H7" i="22"/>
  <c r="F8" i="22"/>
  <c r="F88" i="22"/>
  <c r="N28" i="14"/>
  <c r="D45" i="14"/>
  <c r="E45" i="14"/>
  <c r="J45" i="14"/>
  <c r="D44" i="14"/>
  <c r="O10" i="14"/>
  <c r="J29" i="14"/>
  <c r="K29" i="14"/>
  <c r="I30" i="14"/>
  <c r="G47" i="14"/>
  <c r="H47" i="14"/>
  <c r="K47" i="14"/>
  <c r="T27" i="14"/>
  <c r="H87" i="22"/>
  <c r="L35" i="14"/>
  <c r="G88" i="22"/>
  <c r="M35" i="14"/>
  <c r="G11" i="22"/>
  <c r="C30" i="14"/>
  <c r="O30" i="14"/>
  <c r="R10" i="14"/>
  <c r="H37" i="22"/>
  <c r="F69" i="22"/>
  <c r="H68" i="22"/>
  <c r="E28" i="14"/>
  <c r="P28" i="14"/>
  <c r="S28" i="14"/>
  <c r="Q8" i="14"/>
  <c r="S8" i="14"/>
  <c r="Q27" i="14"/>
  <c r="D47" i="14"/>
  <c r="E47" i="14"/>
  <c r="J47" i="14"/>
  <c r="D29" i="14"/>
  <c r="H22" i="22"/>
  <c r="R29" i="14"/>
  <c r="F49" i="14"/>
  <c r="C49" i="14"/>
  <c r="G38" i="22"/>
  <c r="P10" i="14"/>
  <c r="F39" i="22"/>
  <c r="G23" i="22"/>
  <c r="F24" i="22"/>
  <c r="G53" i="22"/>
  <c r="H53" i="22"/>
  <c r="F54" i="22"/>
  <c r="H8" i="22"/>
  <c r="F9" i="22"/>
  <c r="O11" i="14"/>
  <c r="F89" i="22"/>
  <c r="H88" i="22"/>
  <c r="N29" i="14"/>
  <c r="E44" i="14"/>
  <c r="J44" i="14"/>
  <c r="J30" i="14"/>
  <c r="K30" i="14"/>
  <c r="G48" i="14"/>
  <c r="H48" i="14"/>
  <c r="K48" i="14"/>
  <c r="T28" i="14"/>
  <c r="I31" i="14"/>
  <c r="L36" i="14"/>
  <c r="G89" i="22"/>
  <c r="M36" i="14"/>
  <c r="G12" i="22"/>
  <c r="G24" i="22"/>
  <c r="F25" i="22"/>
  <c r="G39" i="22"/>
  <c r="P11" i="14"/>
  <c r="F40" i="22"/>
  <c r="P29" i="14"/>
  <c r="S29" i="14"/>
  <c r="E29" i="14"/>
  <c r="T8" i="14"/>
  <c r="C31" i="14"/>
  <c r="O31" i="14"/>
  <c r="R11" i="14"/>
  <c r="D30" i="14"/>
  <c r="H23" i="22"/>
  <c r="H38" i="22"/>
  <c r="H69" i="22"/>
  <c r="F70" i="22"/>
  <c r="S9" i="14"/>
  <c r="T9" i="14"/>
  <c r="Q9" i="14"/>
  <c r="C50" i="14"/>
  <c r="R30" i="14"/>
  <c r="F50" i="14"/>
  <c r="D48" i="14"/>
  <c r="E48" i="14"/>
  <c r="J48" i="14"/>
  <c r="Q28" i="14"/>
  <c r="G54" i="22"/>
  <c r="H54" i="22"/>
  <c r="J31" i="14"/>
  <c r="F55" i="22"/>
  <c r="H9" i="22"/>
  <c r="F10" i="22"/>
  <c r="O12" i="14"/>
  <c r="F90" i="22"/>
  <c r="N30" i="14"/>
  <c r="L44" i="14"/>
  <c r="K31" i="14"/>
  <c r="G49" i="14"/>
  <c r="H49" i="14"/>
  <c r="K49" i="14"/>
  <c r="T29" i="14"/>
  <c r="I32" i="14"/>
  <c r="H89" i="22"/>
  <c r="L37" i="14"/>
  <c r="G90" i="22"/>
  <c r="M37" i="14"/>
  <c r="G13" i="22"/>
  <c r="F71" i="22"/>
  <c r="H70" i="22"/>
  <c r="G40" i="22"/>
  <c r="P12" i="14"/>
  <c r="F41" i="22"/>
  <c r="G25" i="22"/>
  <c r="F26" i="22"/>
  <c r="C32" i="14"/>
  <c r="O32" i="14"/>
  <c r="R12" i="14"/>
  <c r="Q10" i="14"/>
  <c r="S10" i="14"/>
  <c r="T10" i="14"/>
  <c r="P30" i="14"/>
  <c r="S30" i="14"/>
  <c r="E30" i="14"/>
  <c r="R31" i="14"/>
  <c r="F51" i="14"/>
  <c r="C51" i="14"/>
  <c r="Q29" i="14"/>
  <c r="D49" i="14"/>
  <c r="E49" i="14"/>
  <c r="H39" i="22"/>
  <c r="D31" i="14"/>
  <c r="H24" i="22"/>
  <c r="G55" i="22"/>
  <c r="H55" i="22"/>
  <c r="F56" i="22"/>
  <c r="H10" i="22"/>
  <c r="F11" i="22"/>
  <c r="F91" i="22"/>
  <c r="N31" i="14"/>
  <c r="M44" i="14"/>
  <c r="L45" i="14"/>
  <c r="L46" i="14"/>
  <c r="L47" i="14"/>
  <c r="L48" i="14"/>
  <c r="O13" i="14"/>
  <c r="R13" i="14"/>
  <c r="J32" i="14"/>
  <c r="K32" i="14"/>
  <c r="G50" i="14"/>
  <c r="H50" i="14"/>
  <c r="K50" i="14"/>
  <c r="T30" i="14"/>
  <c r="I33" i="14"/>
  <c r="H90" i="22"/>
  <c r="L38" i="14"/>
  <c r="G91" i="22"/>
  <c r="M38" i="14"/>
  <c r="G14" i="22"/>
  <c r="E31" i="14"/>
  <c r="P31" i="14"/>
  <c r="S11" i="14"/>
  <c r="T11" i="14"/>
  <c r="Q11" i="14"/>
  <c r="D32" i="14"/>
  <c r="H25" i="22"/>
  <c r="H40" i="22"/>
  <c r="H71" i="22"/>
  <c r="F72" i="22"/>
  <c r="C33" i="14"/>
  <c r="O33" i="14"/>
  <c r="J49" i="14"/>
  <c r="D50" i="14"/>
  <c r="E50" i="14"/>
  <c r="J50" i="14"/>
  <c r="Q30" i="14"/>
  <c r="R32" i="14"/>
  <c r="F52" i="14"/>
  <c r="C52" i="14"/>
  <c r="G26" i="22"/>
  <c r="F27" i="22"/>
  <c r="G41" i="22"/>
  <c r="P13" i="14"/>
  <c r="F42" i="22"/>
  <c r="G56" i="22"/>
  <c r="H56" i="22"/>
  <c r="J33" i="14"/>
  <c r="F57" i="22"/>
  <c r="H11" i="22"/>
  <c r="F12" i="22"/>
  <c r="O14" i="14"/>
  <c r="L49" i="14"/>
  <c r="S31" i="14"/>
  <c r="N32" i="14"/>
  <c r="M45" i="14"/>
  <c r="M46" i="14"/>
  <c r="M47" i="14"/>
  <c r="M48" i="14"/>
  <c r="K33" i="14"/>
  <c r="G51" i="14"/>
  <c r="T31" i="14"/>
  <c r="I34" i="14"/>
  <c r="G15" i="22"/>
  <c r="H91" i="22"/>
  <c r="G27" i="22"/>
  <c r="F28" i="22"/>
  <c r="C34" i="14"/>
  <c r="O34" i="14"/>
  <c r="R14" i="14"/>
  <c r="H41" i="22"/>
  <c r="D33" i="14"/>
  <c r="H26" i="22"/>
  <c r="R33" i="14"/>
  <c r="F53" i="14"/>
  <c r="C53" i="14"/>
  <c r="F73" i="22"/>
  <c r="H72" i="22"/>
  <c r="D51" i="14"/>
  <c r="Q31" i="14"/>
  <c r="G42" i="22"/>
  <c r="P14" i="14"/>
  <c r="F43" i="22"/>
  <c r="Q12" i="14"/>
  <c r="S12" i="14"/>
  <c r="E32" i="14"/>
  <c r="P32" i="14"/>
  <c r="G57" i="22"/>
  <c r="H57" i="22"/>
  <c r="F58" i="22"/>
  <c r="H12" i="22"/>
  <c r="F13" i="22"/>
  <c r="O15" i="14"/>
  <c r="L50" i="14"/>
  <c r="M49" i="14"/>
  <c r="H51" i="14"/>
  <c r="K51" i="14"/>
  <c r="N33" i="14"/>
  <c r="J34" i="14"/>
  <c r="K34" i="14"/>
  <c r="I35" i="14"/>
  <c r="G16" i="22"/>
  <c r="D52" i="14"/>
  <c r="E52" i="14"/>
  <c r="J52" i="14"/>
  <c r="Q32" i="14"/>
  <c r="G43" i="22"/>
  <c r="P15" i="14"/>
  <c r="F44" i="22"/>
  <c r="C35" i="14"/>
  <c r="O35" i="14"/>
  <c r="R15" i="14"/>
  <c r="H42" i="22"/>
  <c r="E51" i="14"/>
  <c r="F74" i="22"/>
  <c r="H73" i="22"/>
  <c r="G28" i="22"/>
  <c r="F29" i="22"/>
  <c r="L51" i="14"/>
  <c r="S32" i="14"/>
  <c r="T12" i="14"/>
  <c r="E33" i="14"/>
  <c r="P33" i="14"/>
  <c r="S13" i="14"/>
  <c r="T13" i="14"/>
  <c r="Q13" i="14"/>
  <c r="R34" i="14"/>
  <c r="F54" i="14"/>
  <c r="C54" i="14"/>
  <c r="D34" i="14"/>
  <c r="H27" i="22"/>
  <c r="G58" i="22"/>
  <c r="H58" i="22"/>
  <c r="F59" i="22"/>
  <c r="H13" i="22"/>
  <c r="F14" i="22"/>
  <c r="M50" i="14"/>
  <c r="S33" i="14"/>
  <c r="N34" i="14"/>
  <c r="O16" i="14"/>
  <c r="R16" i="14"/>
  <c r="J35" i="14"/>
  <c r="K35" i="14"/>
  <c r="T32" i="14"/>
  <c r="G52" i="14"/>
  <c r="H52" i="14"/>
  <c r="K52" i="14"/>
  <c r="L52" i="14"/>
  <c r="G53" i="14"/>
  <c r="T33" i="14"/>
  <c r="I36" i="14"/>
  <c r="M51" i="14"/>
  <c r="E34" i="14"/>
  <c r="P34" i="14"/>
  <c r="S34" i="14"/>
  <c r="G29" i="22"/>
  <c r="F30" i="22"/>
  <c r="C36" i="14"/>
  <c r="O36" i="14"/>
  <c r="Q33" i="14"/>
  <c r="D53" i="14"/>
  <c r="D35" i="14"/>
  <c r="H28" i="22"/>
  <c r="F75" i="22"/>
  <c r="H74" i="22"/>
  <c r="J51" i="14"/>
  <c r="Q14" i="14"/>
  <c r="S14" i="14"/>
  <c r="T14" i="14"/>
  <c r="R35" i="14"/>
  <c r="F55" i="14"/>
  <c r="C55" i="14"/>
  <c r="H43" i="22"/>
  <c r="G44" i="22"/>
  <c r="P16" i="14"/>
  <c r="F45" i="22"/>
  <c r="G59" i="22"/>
  <c r="H59" i="22"/>
  <c r="F60" i="22"/>
  <c r="H14" i="22"/>
  <c r="F15" i="22"/>
  <c r="O17" i="14"/>
  <c r="H53" i="14"/>
  <c r="K53" i="14"/>
  <c r="N35" i="14"/>
  <c r="J36" i="14"/>
  <c r="K36" i="14"/>
  <c r="T34" i="14"/>
  <c r="G54" i="14"/>
  <c r="H54" i="14"/>
  <c r="K54" i="14"/>
  <c r="I37" i="14"/>
  <c r="M52" i="14"/>
  <c r="C37" i="14"/>
  <c r="O37" i="14"/>
  <c r="R17" i="14"/>
  <c r="H44" i="22"/>
  <c r="H75" i="22"/>
  <c r="F76" i="22"/>
  <c r="P35" i="14"/>
  <c r="E35" i="14"/>
  <c r="C56" i="14"/>
  <c r="R36" i="14"/>
  <c r="F56" i="14"/>
  <c r="D36" i="14"/>
  <c r="H29" i="22"/>
  <c r="L53" i="14"/>
  <c r="G45" i="22"/>
  <c r="P17" i="14"/>
  <c r="F46" i="22"/>
  <c r="S15" i="14"/>
  <c r="T15" i="14"/>
  <c r="Q15" i="14"/>
  <c r="E53" i="14"/>
  <c r="G30" i="22"/>
  <c r="F31" i="22"/>
  <c r="Q34" i="14"/>
  <c r="D54" i="14"/>
  <c r="E54" i="14"/>
  <c r="J54" i="14"/>
  <c r="G60" i="22"/>
  <c r="H60" i="22"/>
  <c r="F61" i="22"/>
  <c r="H15" i="22"/>
  <c r="F16" i="22"/>
  <c r="S35" i="14"/>
  <c r="N36" i="14"/>
  <c r="O18" i="14"/>
  <c r="J37" i="14"/>
  <c r="K37" i="14"/>
  <c r="T35" i="14"/>
  <c r="G55" i="14"/>
  <c r="H55" i="14"/>
  <c r="K55" i="14"/>
  <c r="R18" i="14"/>
  <c r="R19" i="14"/>
  <c r="H76" i="22"/>
  <c r="I38" i="14"/>
  <c r="M53" i="14"/>
  <c r="L54" i="14"/>
  <c r="D37" i="14"/>
  <c r="H30" i="22"/>
  <c r="J53" i="14"/>
  <c r="H45" i="22"/>
  <c r="E36" i="14"/>
  <c r="P36" i="14"/>
  <c r="S36" i="14"/>
  <c r="Q35" i="14"/>
  <c r="D55" i="14"/>
  <c r="E55" i="14"/>
  <c r="J55" i="14"/>
  <c r="Q16" i="14"/>
  <c r="S16" i="14"/>
  <c r="T16" i="14"/>
  <c r="C57" i="14"/>
  <c r="R37" i="14"/>
  <c r="F57" i="14"/>
  <c r="H16" i="22"/>
  <c r="C38" i="14"/>
  <c r="O38" i="14"/>
  <c r="G31" i="22"/>
  <c r="D38" i="14"/>
  <c r="G46" i="22"/>
  <c r="P18" i="14"/>
  <c r="G61" i="22"/>
  <c r="H61" i="22"/>
  <c r="N37" i="14"/>
  <c r="N38" i="14"/>
  <c r="J38" i="14"/>
  <c r="K38" i="14"/>
  <c r="T36" i="14"/>
  <c r="G56" i="14"/>
  <c r="M54" i="14"/>
  <c r="L55" i="14"/>
  <c r="H46" i="22"/>
  <c r="H31" i="22"/>
  <c r="R38" i="14"/>
  <c r="F58" i="14"/>
  <c r="C58" i="14"/>
  <c r="C59" i="14"/>
  <c r="Q18" i="14"/>
  <c r="S18" i="14"/>
  <c r="P38" i="14"/>
  <c r="E38" i="14"/>
  <c r="S17" i="14"/>
  <c r="T17" i="14"/>
  <c r="Q17" i="14"/>
  <c r="E37" i="14"/>
  <c r="P37" i="14"/>
  <c r="S37" i="14"/>
  <c r="O39" i="14"/>
  <c r="D56" i="14"/>
  <c r="E56" i="14"/>
  <c r="J56" i="14"/>
  <c r="Q36" i="14"/>
  <c r="H56" i="14"/>
  <c r="K56" i="14"/>
  <c r="G57" i="14"/>
  <c r="H57" i="14"/>
  <c r="K57" i="14"/>
  <c r="T37" i="14"/>
  <c r="F59" i="14"/>
  <c r="M55" i="14"/>
  <c r="R39" i="14"/>
  <c r="D58" i="14"/>
  <c r="Q38" i="14"/>
  <c r="P39" i="14"/>
  <c r="Q37" i="14"/>
  <c r="D57" i="14"/>
  <c r="E57" i="14"/>
  <c r="T18" i="14"/>
  <c r="S19" i="14"/>
  <c r="S38" i="14"/>
  <c r="L56" i="14"/>
  <c r="T19" i="14"/>
  <c r="T38" i="14"/>
  <c r="T39" i="14"/>
  <c r="G58" i="14"/>
  <c r="J57" i="14"/>
  <c r="E58" i="14"/>
  <c r="J58" i="14"/>
  <c r="D59" i="14"/>
  <c r="Q39" i="14"/>
  <c r="S39" i="14"/>
  <c r="L57" i="14"/>
  <c r="M56" i="14"/>
  <c r="J59" i="14"/>
  <c r="E59" i="14"/>
  <c r="M57" i="14"/>
  <c r="H58" i="14"/>
  <c r="G59" i="14"/>
  <c r="H59" i="14"/>
  <c r="K58" i="14"/>
  <c r="K61" i="14"/>
  <c r="L58" i="14"/>
  <c r="M58" i="14"/>
  <c r="K59" i="14"/>
</calcChain>
</file>

<file path=xl/sharedStrings.xml><?xml version="1.0" encoding="utf-8"?>
<sst xmlns="http://schemas.openxmlformats.org/spreadsheetml/2006/main" count="311" uniqueCount="128">
  <si>
    <t>Inštrukcie na vypĺňanie:</t>
  </si>
  <si>
    <t>Vypĺňajú sa sivé políčka v záložke "Požiadavky na údaje"</t>
  </si>
  <si>
    <t>Ak je niektorá požiadavka neaplikovateľná pre daný register/povinnú osobu tak sa namiesto hodnoty zadá údaj n/a</t>
  </si>
  <si>
    <t>Pri odosielaní je potrebné za názov súboru pridať skratku povinnej osoby, aby bolo možné súbory ľahko odlíšiť</t>
  </si>
  <si>
    <t>Ak daná povinná osoba nezbiera daný typ údajov resp. nie je možné tento údaj odvodiť z iných údajov tak je možné urobiť expertný odhad.</t>
  </si>
  <si>
    <t>P.č.</t>
  </si>
  <si>
    <t>Konštanta</t>
  </si>
  <si>
    <t>Skratka</t>
  </si>
  <si>
    <t>Jednotka</t>
  </si>
  <si>
    <t>Hodnota</t>
  </si>
  <si>
    <t>Popis</t>
  </si>
  <si>
    <t>Diskontná sadzba</t>
  </si>
  <si>
    <t>r</t>
  </si>
  <si>
    <t>%</t>
  </si>
  <si>
    <t xml:space="preserve">CKO:
Systém riadenia ŠF a KF v prípade verejných investičných projektov spolufinancovaných z fondov stanovuje 5 % finančnú diskontnú sadzbu pre výpočet čistej súčasnej hodnoty investície v stálych cenách roku predloženia žiadosti o NFP. 
Hodnoty odlišujúce sa od  5 % referenčnej hodnoty sa však môžu zdôvodniť: 
- typom investora: napríklad, diskontná sadzba môže byť vyššia v prípade projektov VSP, keď zahrnutie súkromných finančných prostriedkov môže spôsobiť zvýšenie alternatívnych kapitálových nákladov; 
- príslušným sektorom (napríklad doprava, životné prostredie, energetika, atď.). Skutočné (vážený priemer) kapitálové náklady pre daný projekt by sa mali považovať za dolnú hranicu. 
SORO:
Pre projekty OPIS je stanovená diskontná sadzba 5%. </t>
  </si>
  <si>
    <t>Životnosť projektu</t>
  </si>
  <si>
    <t>t</t>
  </si>
  <si>
    <t>rok</t>
  </si>
  <si>
    <t>CKO:
Referenčné obdobie je počet rokov, na ktorý sa v analýze nákladov a výnosov uvádzajú predpovede. 
SORO:
Projekty OPIS patria do kategórie "iné služby", pre ktoré je určené referenčné obdobie (životnosť projektu) 15 rokov.</t>
  </si>
  <si>
    <t>Priemerná mzda v NH</t>
  </si>
  <si>
    <r>
      <t>C</t>
    </r>
    <r>
      <rPr>
        <vertAlign val="subscript"/>
        <sz val="10"/>
        <color indexed="8"/>
        <rFont val="Times New Roman"/>
        <family val="1"/>
        <charset val="238"/>
      </rPr>
      <t>perc</t>
    </r>
  </si>
  <si>
    <t>EUR/hod</t>
  </si>
  <si>
    <t>SPOLU</t>
  </si>
  <si>
    <t>NÁKLADY</t>
  </si>
  <si>
    <t>Fixné náklady</t>
  </si>
  <si>
    <t>Variabilné náklady</t>
  </si>
  <si>
    <t>Náklady spolu</t>
  </si>
  <si>
    <t>HW</t>
  </si>
  <si>
    <t>SW</t>
  </si>
  <si>
    <t>Služby</t>
  </si>
  <si>
    <t>Všeobecný materiál</t>
  </si>
  <si>
    <t>Osobné náklady</t>
  </si>
  <si>
    <t>Obdobie</t>
  </si>
  <si>
    <t>Alternat. 1</t>
  </si>
  <si>
    <t>Alternat. 2</t>
  </si>
  <si>
    <t>rozdiel</t>
  </si>
  <si>
    <t>-</t>
  </si>
  <si>
    <t>PRÍNOSY</t>
  </si>
  <si>
    <t>Priame prínosy</t>
  </si>
  <si>
    <t>Nepriame prínosy</t>
  </si>
  <si>
    <t>Prínosy spolu</t>
  </si>
  <si>
    <t>Administratívne poplatky</t>
  </si>
  <si>
    <t>Ostatné daňové a nedaňové príjmy</t>
  </si>
  <si>
    <t>Cena ušetreného času používateľa</t>
  </si>
  <si>
    <t>Kvalitatívne prínosy vo finančnom vyjadrení</t>
  </si>
  <si>
    <t>Finančné prínosy</t>
  </si>
  <si>
    <t>Ekonomické prínosy</t>
  </si>
  <si>
    <t>ČISTÉ PRÍNOSY</t>
  </si>
  <si>
    <t>Čisté prínosy</t>
  </si>
  <si>
    <t>Čistá súčasná hodnota z projektu</t>
  </si>
  <si>
    <t>koeficient obdobia</t>
  </si>
  <si>
    <t>Finančná (FNPV)</t>
  </si>
  <si>
    <t>Ekonomická (ENPV)</t>
  </si>
  <si>
    <t>Kumulovaná diskont. návratnosť ENPV</t>
  </si>
  <si>
    <t>Cena projektu</t>
  </si>
  <si>
    <t>Názov služby</t>
  </si>
  <si>
    <t>Frekvencia použitia jedným používateľom (počet/rok)</t>
  </si>
  <si>
    <t>Počet užívateľov (počet/rok)</t>
  </si>
  <si>
    <t>Predpokladaná priemerná cena (EUR / jedno volanie služby)</t>
  </si>
  <si>
    <t>Súhrnný počet volaní služieb (počet / rok)</t>
  </si>
  <si>
    <t>Priemerný administratívny poplatok za jedno volanie služby (EUR)</t>
  </si>
  <si>
    <t>Kvalitatívne prínosy (EUR/rok)</t>
  </si>
  <si>
    <t>Alt. 1</t>
  </si>
  <si>
    <t>Alt. 2</t>
  </si>
  <si>
    <t>Faktor</t>
  </si>
  <si>
    <t>Vysvetlivka</t>
  </si>
  <si>
    <t>Trend elektronizácie</t>
  </si>
  <si>
    <t>Súhrnný počet volaní služieb</t>
  </si>
  <si>
    <t>SORO:
Žiadateľ odhadne na základe historických dát počet podaní za všetky služby, ktoré sú predmetom projektu.</t>
  </si>
  <si>
    <t>počet / rok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</si>
  <si>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</si>
  <si>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</si>
  <si>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</si>
  <si>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</si>
  <si>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</si>
  <si>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</si>
  <si>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</si>
  <si>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</si>
  <si>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</si>
  <si>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</si>
  <si>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</si>
  <si>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</si>
  <si>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</si>
  <si>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</si>
  <si>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</si>
  <si>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Priemerný administratívny poplatok za jedno volanie služby</t>
  </si>
  <si>
    <t>SORO:
Žiadateľ uvedie priemernú hodnotu administratívneho poplatku (v zmysle platného sadzovníka poplatkov) za všetky služby, kt. sú predmetom projektu.</t>
  </si>
  <si>
    <t>EUR</t>
  </si>
  <si>
    <t>Priemerné trvanie spracovania jedného volania služby</t>
  </si>
  <si>
    <t>SORO:
Žiadateľ uvedie priemernú hodnotu dĺžky trvania spracovania podania (od jeho prijatia do doručenia výsledku) za všetky služby, kt. sú predmetom projektu.
pozn.: len čas spracovania služby na strane povinnej osoby</t>
  </si>
  <si>
    <t>hod.</t>
  </si>
  <si>
    <t>Priemerný čas potrebný na vybavenie jednej služby a vrátenie výsledku</t>
  </si>
  <si>
    <t>počet</t>
  </si>
  <si>
    <t>Kvalitatívne prínosy</t>
  </si>
  <si>
    <t>SORO:
Žiadateľ uvedie peňažné vyjadrenie významných kvalitatívnych alebo iných prínosov, ktoré nie je možné vyjadriť predchádzajúcicmi faktormi.
pozn.: Uvedenú hodnotu je potrebné zdôvodniť</t>
  </si>
  <si>
    <t>Priemerné trvanie spracovania jedného volania služby (hod.)</t>
  </si>
  <si>
    <t>Priemerný čas potrebný na vybavenie jednej služby a vrátenie výsledku (hod.)</t>
  </si>
  <si>
    <t>Objem požadovaných oprávnených prostriedkov spolu</t>
  </si>
  <si>
    <t>SW - licencie</t>
  </si>
  <si>
    <t>služby</t>
  </si>
  <si>
    <t>Ročné náklady na prevádzku nového IT</t>
  </si>
  <si>
    <t>Ročné náklady na súčasnú prevádzku IT</t>
  </si>
  <si>
    <t>Materiálové náklady podania</t>
  </si>
  <si>
    <t>Cpap</t>
  </si>
  <si>
    <t>Materiálové náklady podania nové</t>
  </si>
  <si>
    <t>http://portal.statistics.sk/showdoc.do?docid=35593</t>
  </si>
  <si>
    <t>Zápisy do OR</t>
  </si>
  <si>
    <t>Zápisy do ŽR</t>
  </si>
  <si>
    <t>Čas, ktorý musí venovať žiadateľ na vybavenie služby</t>
  </si>
  <si>
    <t>Úspory na materiálové náklady žiadateľa spojené s vybavením služby</t>
  </si>
  <si>
    <t>980 € za rok 2011 http://portal.statistics.sk/showdoc.do?docid=35594</t>
  </si>
  <si>
    <t>Osobné náklady zamestnanca VS</t>
  </si>
  <si>
    <t xml:space="preserve">Priemerná mesačná hrubá mzda v slovenskom hospodárstve je 786 eur (Zdroj: SU).
Priemerný počet pracovných dní v mesiaci bol vypočítaný nasledovne: Rok má 365,25 dní a 52,18 týždňov. Rok má 12 mesiacov, čiže 1 mesiac má priemerne 4,348 týždnov. Pracovný týždeň má 5 dní a teda priemerný počet pracovných dní v mesiaci je 4,348*5 = 21,74. Pracovný deň má 8 hodín. 
Priemerná hrubá hodinová mzda v slovenskom hospodárste sa vypočíta: 786/(21,74*8) = 4,52
</t>
  </si>
  <si>
    <t>Tlač (0,02 EUR)+Papier (0,01 EUR)+Obálka (0,03 EUR) - metodika CBA</t>
  </si>
  <si>
    <t>hod</t>
  </si>
  <si>
    <t>ERR</t>
  </si>
  <si>
    <t>Materiálové úspory žiadateľa na vybavenie služby</t>
  </si>
  <si>
    <t>Trvanie spracovania jednej zmeny v zdrojových registroch na IVS</t>
  </si>
  <si>
    <t>Náklady PO na hlásenie zmeny jednej IVS</t>
  </si>
  <si>
    <t>http://www.posta.sk/sluzby/doporuceny-list-slovensko#a4)</t>
  </si>
  <si>
    <t xml:space="preserve">Poštovné (doporučený list Slov. pošta   </t>
  </si>
  <si>
    <t xml:space="preserve">Práca na vytvorenie listu </t>
  </si>
  <si>
    <t>Počet IVS, ktorým PO hlási zmenu údajov</t>
  </si>
  <si>
    <t>14a</t>
  </si>
  <si>
    <t>14b</t>
  </si>
  <si>
    <t>14c</t>
  </si>
  <si>
    <t>x</t>
  </si>
  <si>
    <t>Úspora času ako ukazovateľ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</si>
</sst>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u/>
      <sz val="8.8000000000000007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6" fillId="0" borderId="0"/>
    <xf numFmtId="9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5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0" fontId="9" fillId="5" borderId="10" xfId="3" applyFont="1" applyFill="1" applyBorder="1" applyAlignment="1">
      <alignment horizontal="left" vertical="top"/>
    </xf>
    <xf numFmtId="0" fontId="6" fillId="5" borderId="9" xfId="3" applyFill="1" applyBorder="1" applyAlignment="1">
      <alignment horizontal="left" vertical="top" wrapText="1"/>
    </xf>
    <xf numFmtId="0" fontId="6" fillId="0" borderId="0" xfId="3" applyBorder="1" applyAlignment="1">
      <alignment horizontal="left" vertical="top" wrapText="1"/>
    </xf>
    <xf numFmtId="0" fontId="6" fillId="5" borderId="7" xfId="3" applyFill="1" applyBorder="1" applyAlignment="1">
      <alignment horizontal="left" vertical="top" wrapText="1"/>
    </xf>
    <xf numFmtId="0" fontId="6" fillId="5" borderId="0" xfId="3" applyFill="1" applyBorder="1" applyAlignment="1">
      <alignment horizontal="left" vertical="top" wrapText="1"/>
    </xf>
    <xf numFmtId="0" fontId="6" fillId="4" borderId="7" xfId="3" applyFill="1" applyBorder="1" applyAlignment="1">
      <alignment horizontal="left" vertical="top" wrapText="1"/>
    </xf>
    <xf numFmtId="0" fontId="6" fillId="4" borderId="0" xfId="3" applyFill="1" applyBorder="1" applyAlignment="1">
      <alignment horizontal="left" vertical="top" wrapText="1"/>
    </xf>
    <xf numFmtId="0" fontId="6" fillId="4" borderId="8" xfId="3" applyFill="1" applyBorder="1" applyAlignment="1">
      <alignment horizontal="left" vertical="top" wrapText="1"/>
    </xf>
    <xf numFmtId="0" fontId="4" fillId="5" borderId="0" xfId="3" applyFont="1" applyFill="1" applyBorder="1" applyAlignment="1">
      <alignment horizontal="left" vertical="top" wrapText="1"/>
    </xf>
    <xf numFmtId="0" fontId="6" fillId="2" borderId="7" xfId="3" applyFill="1" applyBorder="1" applyAlignment="1">
      <alignment vertical="top" wrapText="1"/>
    </xf>
    <xf numFmtId="0" fontId="6" fillId="2" borderId="0" xfId="3" applyFill="1" applyBorder="1" applyAlignment="1">
      <alignment vertical="top" wrapText="1"/>
    </xf>
    <xf numFmtId="0" fontId="10" fillId="2" borderId="0" xfId="3" applyFont="1" applyFill="1" applyBorder="1" applyAlignment="1">
      <alignment vertical="top" wrapText="1"/>
    </xf>
    <xf numFmtId="0" fontId="10" fillId="2" borderId="8" xfId="3" applyFont="1" applyFill="1" applyBorder="1" applyAlignment="1">
      <alignment vertical="top" wrapText="1"/>
    </xf>
    <xf numFmtId="0" fontId="6" fillId="4" borderId="7" xfId="3" applyFill="1" applyBorder="1" applyAlignment="1">
      <alignment vertical="top" wrapText="1"/>
    </xf>
    <xf numFmtId="0" fontId="6" fillId="4" borderId="0" xfId="3" applyFill="1" applyBorder="1" applyAlignment="1">
      <alignment vertical="top" wrapText="1"/>
    </xf>
    <xf numFmtId="0" fontId="10" fillId="4" borderId="8" xfId="3" applyFont="1" applyFill="1" applyBorder="1" applyAlignment="1">
      <alignment vertical="top" wrapText="1"/>
    </xf>
    <xf numFmtId="0" fontId="6" fillId="0" borderId="7" xfId="3" applyBorder="1" applyAlignment="1">
      <alignment horizontal="left" vertical="top" wrapText="1"/>
    </xf>
    <xf numFmtId="3" fontId="11" fillId="0" borderId="7" xfId="3" applyNumberFormat="1" applyFont="1" applyBorder="1" applyAlignment="1">
      <alignment horizontal="right" vertical="top" wrapText="1"/>
    </xf>
    <xf numFmtId="3" fontId="11" fillId="0" borderId="0" xfId="3" applyNumberFormat="1" applyFont="1" applyBorder="1" applyAlignment="1">
      <alignment horizontal="right" vertical="top" wrapText="1"/>
    </xf>
    <xf numFmtId="3" fontId="10" fillId="0" borderId="0" xfId="3" applyNumberFormat="1" applyFont="1" applyBorder="1" applyAlignment="1">
      <alignment horizontal="right" vertical="top" wrapText="1"/>
    </xf>
    <xf numFmtId="3" fontId="10" fillId="0" borderId="8" xfId="3" applyNumberFormat="1" applyFont="1" applyBorder="1" applyAlignment="1">
      <alignment horizontal="right" vertical="top" wrapText="1"/>
    </xf>
    <xf numFmtId="3" fontId="6" fillId="0" borderId="7" xfId="3" applyNumberFormat="1" applyBorder="1" applyAlignment="1">
      <alignment horizontal="right" vertical="top" wrapText="1"/>
    </xf>
    <xf numFmtId="3" fontId="5" fillId="0" borderId="0" xfId="3" applyNumberFormat="1" applyFont="1" applyBorder="1" applyAlignment="1">
      <alignment horizontal="right" vertical="top" wrapText="1"/>
    </xf>
    <xf numFmtId="3" fontId="6" fillId="0" borderId="0" xfId="3" applyNumberFormat="1" applyBorder="1" applyAlignment="1">
      <alignment horizontal="right" vertical="top" wrapText="1"/>
    </xf>
    <xf numFmtId="0" fontId="6" fillId="0" borderId="12" xfId="3" applyBorder="1" applyAlignment="1">
      <alignment horizontal="left" vertical="top" wrapText="1"/>
    </xf>
    <xf numFmtId="0" fontId="6" fillId="0" borderId="6" xfId="3" applyBorder="1" applyAlignment="1">
      <alignment horizontal="left" vertical="top" wrapText="1"/>
    </xf>
    <xf numFmtId="3" fontId="11" fillId="0" borderId="12" xfId="3" applyNumberFormat="1" applyFont="1" applyBorder="1" applyAlignment="1">
      <alignment horizontal="right" vertical="top" wrapText="1"/>
    </xf>
    <xf numFmtId="3" fontId="11" fillId="0" borderId="6" xfId="3" applyNumberFormat="1" applyFont="1" applyBorder="1" applyAlignment="1">
      <alignment horizontal="right" vertical="top" wrapText="1"/>
    </xf>
    <xf numFmtId="3" fontId="10" fillId="0" borderId="6" xfId="3" applyNumberFormat="1" applyFont="1" applyBorder="1" applyAlignment="1">
      <alignment horizontal="right" vertical="top" wrapText="1"/>
    </xf>
    <xf numFmtId="3" fontId="10" fillId="0" borderId="13" xfId="3" applyNumberFormat="1" applyFont="1" applyBorder="1" applyAlignment="1">
      <alignment horizontal="right" vertical="top" wrapText="1"/>
    </xf>
    <xf numFmtId="3" fontId="6" fillId="0" borderId="12" xfId="3" applyNumberFormat="1" applyBorder="1" applyAlignment="1">
      <alignment horizontal="right" vertical="top" wrapText="1"/>
    </xf>
    <xf numFmtId="3" fontId="5" fillId="0" borderId="6" xfId="3" applyNumberFormat="1" applyFont="1" applyBorder="1" applyAlignment="1">
      <alignment horizontal="right" vertical="top" wrapText="1"/>
    </xf>
    <xf numFmtId="3" fontId="6" fillId="0" borderId="6" xfId="3" applyNumberFormat="1" applyBorder="1" applyAlignment="1">
      <alignment horizontal="right" vertical="top" wrapText="1"/>
    </xf>
    <xf numFmtId="0" fontId="4" fillId="0" borderId="0" xfId="3" applyFont="1" applyBorder="1" applyAlignment="1">
      <alignment horizontal="right" vertical="top" wrapText="1"/>
    </xf>
    <xf numFmtId="3" fontId="4" fillId="0" borderId="2" xfId="3" applyNumberFormat="1" applyFont="1" applyBorder="1" applyAlignment="1">
      <alignment horizontal="right" vertical="top" wrapText="1"/>
    </xf>
    <xf numFmtId="3" fontId="4" fillId="0" borderId="3" xfId="3" applyNumberFormat="1" applyFont="1" applyBorder="1" applyAlignment="1">
      <alignment horizontal="right" vertical="top" wrapText="1"/>
    </xf>
    <xf numFmtId="3" fontId="12" fillId="0" borderId="4" xfId="3" applyNumberFormat="1" applyFont="1" applyBorder="1" applyAlignment="1">
      <alignment horizontal="right" vertical="top" wrapText="1"/>
    </xf>
    <xf numFmtId="0" fontId="13" fillId="5" borderId="10" xfId="3" applyFont="1" applyFill="1" applyBorder="1" applyAlignment="1">
      <alignment horizontal="left" vertical="top"/>
    </xf>
    <xf numFmtId="0" fontId="14" fillId="5" borderId="10" xfId="3" applyFont="1" applyFill="1" applyBorder="1" applyAlignment="1">
      <alignment horizontal="left" vertical="top"/>
    </xf>
    <xf numFmtId="0" fontId="6" fillId="5" borderId="10" xfId="3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 wrapText="1"/>
    </xf>
    <xf numFmtId="0" fontId="4" fillId="5" borderId="7" xfId="3" applyFont="1" applyFill="1" applyBorder="1" applyAlignment="1">
      <alignment horizontal="left" vertical="top" wrapText="1"/>
    </xf>
    <xf numFmtId="3" fontId="6" fillId="0" borderId="8" xfId="3" applyNumberFormat="1" applyBorder="1" applyAlignment="1">
      <alignment horizontal="left" vertical="top" wrapText="1"/>
    </xf>
    <xf numFmtId="0" fontId="6" fillId="0" borderId="8" xfId="3" applyBorder="1" applyAlignment="1">
      <alignment horizontal="left" vertical="top"/>
    </xf>
    <xf numFmtId="3" fontId="6" fillId="0" borderId="13" xfId="3" applyNumberFormat="1" applyBorder="1" applyAlignment="1">
      <alignment horizontal="left" vertical="top" wrapText="1"/>
    </xf>
    <xf numFmtId="0" fontId="6" fillId="0" borderId="13" xfId="3" applyBorder="1" applyAlignment="1">
      <alignment horizontal="left" vertical="top"/>
    </xf>
    <xf numFmtId="3" fontId="4" fillId="0" borderId="5" xfId="3" applyNumberFormat="1" applyFont="1" applyBorder="1" applyAlignment="1">
      <alignment horizontal="right" vertical="top" wrapText="1"/>
    </xf>
    <xf numFmtId="3" fontId="4" fillId="0" borderId="6" xfId="3" applyNumberFormat="1" applyFont="1" applyBorder="1" applyAlignment="1">
      <alignment horizontal="right" vertical="top" wrapText="1"/>
    </xf>
    <xf numFmtId="3" fontId="12" fillId="0" borderId="13" xfId="3" applyNumberFormat="1" applyFont="1" applyBorder="1" applyAlignment="1">
      <alignment horizontal="right" vertical="top" wrapText="1"/>
    </xf>
    <xf numFmtId="3" fontId="4" fillId="0" borderId="1" xfId="3" applyNumberFormat="1" applyFont="1" applyBorder="1" applyAlignment="1">
      <alignment horizontal="right" vertical="top" wrapText="1"/>
    </xf>
    <xf numFmtId="3" fontId="12" fillId="0" borderId="12" xfId="3" applyNumberFormat="1" applyFont="1" applyBorder="1" applyAlignment="1">
      <alignment horizontal="right" vertical="top" wrapText="1"/>
    </xf>
    <xf numFmtId="0" fontId="5" fillId="0" borderId="0" xfId="3" applyFont="1" applyBorder="1" applyAlignment="1">
      <alignment horizontal="left" vertical="top" wrapText="1"/>
    </xf>
    <xf numFmtId="3" fontId="6" fillId="0" borderId="0" xfId="3" applyNumberForma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10" fontId="6" fillId="0" borderId="0" xfId="3" applyNumberFormat="1" applyBorder="1" applyAlignment="1">
      <alignment horizontal="right" vertical="top" wrapText="1"/>
    </xf>
    <xf numFmtId="2" fontId="6" fillId="0" borderId="0" xfId="3" applyNumberFormat="1" applyBorder="1" applyAlignment="1">
      <alignment horizontal="right" vertical="top" wrapText="1"/>
    </xf>
    <xf numFmtId="0" fontId="4" fillId="2" borderId="0" xfId="7" applyFont="1" applyFill="1" applyAlignment="1">
      <alignment horizontal="left" vertical="top" wrapText="1"/>
    </xf>
    <xf numFmtId="0" fontId="5" fillId="0" borderId="0" xfId="7" applyAlignment="1">
      <alignment horizontal="left" vertical="top" wrapText="1"/>
    </xf>
    <xf numFmtId="10" fontId="5" fillId="0" borderId="0" xfId="7" applyNumberFormat="1" applyAlignment="1">
      <alignment horizontal="right" vertical="top" wrapText="1"/>
    </xf>
    <xf numFmtId="3" fontId="5" fillId="0" borderId="0" xfId="7" applyNumberFormat="1" applyAlignment="1">
      <alignment horizontal="right" vertical="top" wrapText="1"/>
    </xf>
    <xf numFmtId="164" fontId="5" fillId="0" borderId="0" xfId="7" applyNumberFormat="1" applyAlignment="1">
      <alignment vertical="top"/>
    </xf>
    <xf numFmtId="0" fontId="8" fillId="0" borderId="0" xfId="7" applyFont="1" applyAlignment="1">
      <alignment horizontal="left" vertical="top" wrapText="1"/>
    </xf>
    <xf numFmtId="4" fontId="5" fillId="6" borderId="15" xfId="1" applyNumberFormat="1" applyFont="1" applyFill="1" applyBorder="1" applyAlignment="1">
      <alignment horizontal="center" vertical="top" wrapText="1"/>
    </xf>
    <xf numFmtId="4" fontId="5" fillId="6" borderId="16" xfId="1" applyNumberFormat="1" applyFont="1" applyFill="1" applyBorder="1" applyAlignment="1">
      <alignment horizontal="center" vertical="top" wrapText="1"/>
    </xf>
    <xf numFmtId="0" fontId="0" fillId="0" borderId="0" xfId="0" applyBorder="1"/>
    <xf numFmtId="0" fontId="16" fillId="0" borderId="0" xfId="0" applyFont="1" applyBorder="1" applyAlignment="1">
      <alignment vertical="top" wrapText="1"/>
    </xf>
    <xf numFmtId="4" fontId="5" fillId="2" borderId="17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/>
    <xf numFmtId="3" fontId="0" fillId="0" borderId="0" xfId="0" applyNumberFormat="1" applyFill="1"/>
    <xf numFmtId="0" fontId="4" fillId="5" borderId="0" xfId="0" applyFont="1" applyFill="1" applyAlignment="1">
      <alignment horizontal="left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10" fontId="4" fillId="2" borderId="2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3" fontId="0" fillId="0" borderId="19" xfId="0" applyNumberForma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10" fontId="0" fillId="0" borderId="21" xfId="0" applyNumberFormat="1" applyBorder="1" applyAlignment="1">
      <alignment horizontal="lef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6" xfId="0" applyBorder="1" applyAlignment="1">
      <alignment horizontal="left" vertical="top" wrapText="1"/>
    </xf>
    <xf numFmtId="3" fontId="10" fillId="0" borderId="22" xfId="0" applyNumberFormat="1" applyFont="1" applyBorder="1" applyAlignment="1">
      <alignment horizontal="right" vertical="top" wrapText="1"/>
    </xf>
    <xf numFmtId="10" fontId="0" fillId="0" borderId="23" xfId="0" applyNumberForma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0" fillId="0" borderId="24" xfId="0" applyNumberFormat="1" applyBorder="1" applyAlignment="1">
      <alignment horizontal="right" vertical="top" wrapText="1"/>
    </xf>
    <xf numFmtId="4" fontId="0" fillId="0" borderId="9" xfId="0" applyNumberFormat="1" applyBorder="1" applyAlignment="1">
      <alignment horizontal="right" vertical="top" wrapText="1"/>
    </xf>
    <xf numFmtId="4" fontId="10" fillId="0" borderId="25" xfId="0" applyNumberFormat="1" applyFont="1" applyBorder="1" applyAlignment="1">
      <alignment horizontal="right" vertical="top" wrapText="1"/>
    </xf>
    <xf numFmtId="10" fontId="0" fillId="0" borderId="26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0" fillId="0" borderId="19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0" fillId="0" borderId="20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0" fillId="0" borderId="27" xfId="0" applyNumberForma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3" fontId="0" fillId="0" borderId="27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 wrapText="1"/>
    </xf>
    <xf numFmtId="0" fontId="0" fillId="0" borderId="19" xfId="0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4" fillId="0" borderId="0" xfId="1" applyNumberFormat="1" applyFont="1" applyAlignment="1">
      <alignment horizontal="right" vertical="top"/>
    </xf>
    <xf numFmtId="4" fontId="4" fillId="0" borderId="15" xfId="1" applyNumberFormat="1" applyFont="1" applyBorder="1" applyAlignment="1">
      <alignment horizontal="right" vertical="top"/>
    </xf>
    <xf numFmtId="4" fontId="4" fillId="0" borderId="0" xfId="1" applyNumberFormat="1" applyFont="1" applyBorder="1" applyAlignment="1">
      <alignment horizontal="right" vertical="top"/>
    </xf>
    <xf numFmtId="0" fontId="5" fillId="0" borderId="0" xfId="7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" fontId="5" fillId="0" borderId="0" xfId="1" applyNumberFormat="1" applyFont="1" applyBorder="1" applyAlignment="1">
      <alignment horizontal="right" vertical="top"/>
    </xf>
    <xf numFmtId="0" fontId="5" fillId="0" borderId="0" xfId="7" applyFill="1" applyAlignment="1">
      <alignment horizontal="left" vertical="top" wrapText="1"/>
    </xf>
    <xf numFmtId="164" fontId="5" fillId="0" borderId="0" xfId="7" applyNumberFormat="1" applyFill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6" xfId="0" applyBorder="1"/>
    <xf numFmtId="4" fontId="5" fillId="0" borderId="6" xfId="1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/>
    <xf numFmtId="0" fontId="0" fillId="0" borderId="22" xfId="0" applyBorder="1"/>
    <xf numFmtId="0" fontId="17" fillId="0" borderId="0" xfId="8" applyFill="1" applyAlignment="1" applyProtection="1">
      <alignment horizontal="left" vertical="top" wrapText="1"/>
    </xf>
    <xf numFmtId="4" fontId="5" fillId="2" borderId="17" xfId="1" applyNumberFormat="1" applyFont="1" applyFill="1" applyBorder="1" applyAlignment="1">
      <alignment horizontal="left" vertical="top" wrapText="1"/>
    </xf>
    <xf numFmtId="4" fontId="0" fillId="0" borderId="0" xfId="0" applyNumberFormat="1"/>
    <xf numFmtId="9" fontId="5" fillId="0" borderId="0" xfId="7" applyNumberFormat="1" applyAlignment="1">
      <alignment horizontal="left" vertical="top" wrapText="1"/>
    </xf>
    <xf numFmtId="165" fontId="6" fillId="0" borderId="0" xfId="3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5" fillId="0" borderId="0" xfId="7" applyNumberFormat="1" applyAlignment="1">
      <alignment horizontal="right" vertical="top" wrapText="1"/>
    </xf>
    <xf numFmtId="0" fontId="5" fillId="0" borderId="0" xfId="7" applyAlignment="1">
      <alignment horizontal="left" vertical="top" wrapText="1" indent="1"/>
    </xf>
    <xf numFmtId="0" fontId="5" fillId="0" borderId="0" xfId="7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64" fontId="5" fillId="0" borderId="0" xfId="7" applyNumberFormat="1" applyAlignment="1">
      <alignment horizontal="left" vertical="top" wrapText="1"/>
    </xf>
    <xf numFmtId="4" fontId="5" fillId="2" borderId="0" xfId="1" applyNumberFormat="1" applyFont="1" applyFill="1" applyAlignment="1">
      <alignment horizontal="left" vertical="top" wrapText="1"/>
    </xf>
    <xf numFmtId="49" fontId="4" fillId="2" borderId="0" xfId="1" applyNumberFormat="1" applyFont="1" applyFill="1" applyAlignment="1">
      <alignment horizontal="left" vertical="top" wrapText="1"/>
    </xf>
    <xf numFmtId="49" fontId="4" fillId="2" borderId="17" xfId="1" applyNumberFormat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4" fontId="5" fillId="2" borderId="14" xfId="1" applyNumberFormat="1" applyFont="1" applyFill="1" applyBorder="1" applyAlignment="1">
      <alignment horizontal="left" vertical="top" wrapText="1"/>
    </xf>
    <xf numFmtId="4" fontId="5" fillId="2" borderId="18" xfId="1" applyNumberFormat="1" applyFont="1" applyFill="1" applyBorder="1" applyAlignment="1">
      <alignment horizontal="left" vertical="top" wrapText="1"/>
    </xf>
    <xf numFmtId="0" fontId="5" fillId="6" borderId="15" xfId="1" applyFont="1" applyFill="1" applyBorder="1" applyAlignment="1">
      <alignment horizontal="center" vertical="top" wrapText="1"/>
    </xf>
    <xf numFmtId="0" fontId="5" fillId="6" borderId="16" xfId="1" applyFont="1" applyFill="1" applyBorder="1" applyAlignment="1">
      <alignment horizontal="center" vertical="top" wrapText="1"/>
    </xf>
    <xf numFmtId="4" fontId="5" fillId="2" borderId="17" xfId="1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0" xfId="3" applyFont="1" applyFill="1" applyBorder="1" applyAlignment="1">
      <alignment horizontal="center" vertical="top" wrapText="1"/>
    </xf>
    <xf numFmtId="0" fontId="4" fillId="2" borderId="9" xfId="3" applyFont="1" applyFill="1" applyBorder="1" applyAlignment="1">
      <alignment horizontal="center" vertical="top" wrapText="1"/>
    </xf>
    <xf numFmtId="0" fontId="4" fillId="2" borderId="11" xfId="3" applyFont="1" applyFill="1" applyBorder="1" applyAlignment="1">
      <alignment horizontal="center" vertical="top" wrapText="1"/>
    </xf>
    <xf numFmtId="0" fontId="4" fillId="4" borderId="10" xfId="3" applyFont="1" applyFill="1" applyBorder="1" applyAlignment="1">
      <alignment horizontal="center" vertical="top" wrapText="1"/>
    </xf>
    <xf numFmtId="0" fontId="4" fillId="4" borderId="9" xfId="3" applyFont="1" applyFill="1" applyBorder="1" applyAlignment="1">
      <alignment horizontal="center" vertical="top" wrapText="1"/>
    </xf>
    <xf numFmtId="0" fontId="4" fillId="4" borderId="11" xfId="3" applyFont="1" applyFill="1" applyBorder="1" applyAlignment="1">
      <alignment horizontal="center" vertical="top" wrapText="1"/>
    </xf>
    <xf numFmtId="0" fontId="4" fillId="2" borderId="7" xfId="3" applyFont="1" applyFill="1" applyBorder="1" applyAlignment="1">
      <alignment horizontal="center" vertical="top" wrapText="1"/>
    </xf>
    <xf numFmtId="0" fontId="4" fillId="2" borderId="0" xfId="3" applyFont="1" applyFill="1" applyBorder="1" applyAlignment="1">
      <alignment horizontal="center" vertical="top" wrapText="1"/>
    </xf>
    <xf numFmtId="0" fontId="4" fillId="2" borderId="8" xfId="3" applyFont="1" applyFill="1" applyBorder="1" applyAlignment="1">
      <alignment horizontal="center" vertical="top" wrapText="1"/>
    </xf>
    <xf numFmtId="0" fontId="6" fillId="4" borderId="0" xfId="3" applyFill="1" applyBorder="1" applyAlignment="1">
      <alignment horizontal="center" vertical="top" wrapText="1"/>
    </xf>
    <xf numFmtId="0" fontId="6" fillId="4" borderId="8" xfId="3" applyFill="1" applyBorder="1" applyAlignment="1">
      <alignment horizontal="center" vertical="top" wrapText="1"/>
    </xf>
    <xf numFmtId="0" fontId="4" fillId="4" borderId="7" xfId="3" applyFont="1" applyFill="1" applyBorder="1" applyAlignment="1">
      <alignment horizontal="center" vertical="top" wrapText="1"/>
    </xf>
    <xf numFmtId="0" fontId="4" fillId="4" borderId="0" xfId="3" applyFont="1" applyFill="1" applyBorder="1" applyAlignment="1">
      <alignment horizontal="center" vertical="top" wrapText="1"/>
    </xf>
    <xf numFmtId="0" fontId="4" fillId="4" borderId="8" xfId="3" applyFont="1" applyFill="1" applyBorder="1" applyAlignment="1">
      <alignment horizontal="center" vertical="top" wrapText="1"/>
    </xf>
  </cellXfs>
  <cellStyles count="9">
    <cellStyle name="20% - Accent1 2" xfId="5"/>
    <cellStyle name="Hyperlink" xfId="8" builtinId="8"/>
    <cellStyle name="Normal" xfId="0" builtinId="0"/>
    <cellStyle name="Normal 2" xfId="1"/>
    <cellStyle name="Normal 3" xfId="2"/>
    <cellStyle name="Normal 4" xfId="3"/>
    <cellStyle name="Normal 5" xfId="7"/>
    <cellStyle name="normálne_POVINNA_OSOBA" xfId="6"/>
    <cellStyle name="Percent 2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statistics.sk/showdoc.do?docid=35593" TargetMode="External"/><Relationship Id="rId2" Type="http://schemas.openxmlformats.org/officeDocument/2006/relationships/hyperlink" Target="http://www.posta.sk/sluzby/doporuceny-list-slovens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5" sqref="B15"/>
    </sheetView>
  </sheetViews>
  <sheetFormatPr baseColWidth="10" defaultColWidth="8.83203125" defaultRowHeight="14" x14ac:dyDescent="0"/>
  <cols>
    <col min="1" max="1" width="104.6640625" style="1" customWidth="1"/>
  </cols>
  <sheetData>
    <row r="1" spans="1:1">
      <c r="A1" s="1" t="s">
        <v>0</v>
      </c>
    </row>
    <row r="3" spans="1:1">
      <c r="A3" s="1" t="s">
        <v>1</v>
      </c>
    </row>
    <row r="4" spans="1:1" ht="16.5" customHeight="1">
      <c r="A4" s="1" t="s">
        <v>2</v>
      </c>
    </row>
    <row r="5" spans="1:1" ht="28">
      <c r="A5" s="1" t="s">
        <v>4</v>
      </c>
    </row>
    <row r="6" spans="1:1">
      <c r="A6" s="1" t="s">
        <v>3</v>
      </c>
    </row>
  </sheetData>
  <phoneticPr fontId="0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"/>
  <sheetViews>
    <sheetView zoomScale="80" zoomScaleNormal="80" zoomScalePageLayoutView="80" workbookViewId="0">
      <pane xSplit="1" ySplit="1" topLeftCell="B2" activePane="bottomRight" state="frozen"/>
      <selection activeCell="Q22" sqref="Q22"/>
      <selection pane="topRight" activeCell="Q22" sqref="Q22"/>
      <selection pane="bottomLeft" activeCell="Q22" sqref="Q22"/>
      <selection pane="bottomRight" activeCell="E18" sqref="E18"/>
    </sheetView>
  </sheetViews>
  <sheetFormatPr baseColWidth="10" defaultColWidth="8.83203125" defaultRowHeight="12" x14ac:dyDescent="0"/>
  <cols>
    <col min="1" max="1" width="6.33203125" style="61" customWidth="1"/>
    <col min="2" max="2" width="44.5" style="61" bestFit="1" customWidth="1"/>
    <col min="3" max="3" width="10.5" style="61" customWidth="1"/>
    <col min="4" max="4" width="14.33203125" style="61" customWidth="1"/>
    <col min="5" max="5" width="20.5" style="61" customWidth="1"/>
    <col min="6" max="6" width="88.33203125" style="61" customWidth="1"/>
    <col min="7" max="7" width="28.5" style="61" customWidth="1"/>
    <col min="8" max="16384" width="8.83203125" style="61"/>
  </cols>
  <sheetData>
    <row r="1" spans="1:7" s="60" customFormat="1">
      <c r="A1" s="60" t="s">
        <v>5</v>
      </c>
      <c r="B1" s="60" t="s">
        <v>6</v>
      </c>
      <c r="C1" s="60" t="s">
        <v>7</v>
      </c>
      <c r="D1" s="60" t="s">
        <v>8</v>
      </c>
      <c r="E1" s="60" t="s">
        <v>9</v>
      </c>
      <c r="F1" s="60" t="s">
        <v>10</v>
      </c>
    </row>
    <row r="2" spans="1:7" ht="156">
      <c r="A2" s="61">
        <v>1</v>
      </c>
      <c r="B2" s="61" t="s">
        <v>11</v>
      </c>
      <c r="C2" s="61" t="s">
        <v>12</v>
      </c>
      <c r="D2" s="61" t="s">
        <v>13</v>
      </c>
      <c r="E2" s="62">
        <v>5.5E-2</v>
      </c>
      <c r="F2" s="61" t="s">
        <v>14</v>
      </c>
    </row>
    <row r="3" spans="1:7" ht="48">
      <c r="A3" s="61">
        <v>2</v>
      </c>
      <c r="B3" s="61" t="s">
        <v>15</v>
      </c>
      <c r="C3" s="61" t="s">
        <v>16</v>
      </c>
      <c r="D3" s="61" t="s">
        <v>17</v>
      </c>
      <c r="E3" s="63">
        <v>15</v>
      </c>
      <c r="F3" s="61" t="s">
        <v>18</v>
      </c>
    </row>
    <row r="4" spans="1:7" s="112" customFormat="1" ht="84">
      <c r="A4" s="61">
        <v>3</v>
      </c>
      <c r="B4" s="112" t="s">
        <v>19</v>
      </c>
      <c r="C4" s="112" t="s">
        <v>20</v>
      </c>
      <c r="D4" s="112" t="s">
        <v>21</v>
      </c>
      <c r="E4" s="64">
        <f>786/(21.74*8)</f>
        <v>4.5193192272309108</v>
      </c>
      <c r="F4" s="112" t="s">
        <v>112</v>
      </c>
      <c r="G4" s="122" t="s">
        <v>105</v>
      </c>
    </row>
    <row r="5" spans="1:7" s="112" customFormat="1">
      <c r="A5" s="61">
        <v>4</v>
      </c>
      <c r="B5" s="61" t="s">
        <v>111</v>
      </c>
      <c r="C5" s="61"/>
      <c r="D5" s="61" t="s">
        <v>21</v>
      </c>
      <c r="E5" s="64">
        <f>980*1.358/160</f>
        <v>8.3177500000000002</v>
      </c>
      <c r="F5" s="61" t="s">
        <v>110</v>
      </c>
      <c r="G5" s="122"/>
    </row>
    <row r="6" spans="1:7" s="112" customFormat="1">
      <c r="A6" s="61">
        <v>5</v>
      </c>
      <c r="B6" s="112" t="s">
        <v>102</v>
      </c>
      <c r="C6" s="112" t="s">
        <v>103</v>
      </c>
      <c r="D6" s="112" t="s">
        <v>87</v>
      </c>
      <c r="E6" s="113">
        <v>0</v>
      </c>
    </row>
    <row r="7" spans="1:7" s="112" customFormat="1">
      <c r="A7" s="61">
        <v>6</v>
      </c>
      <c r="B7" s="112" t="s">
        <v>104</v>
      </c>
      <c r="C7" s="112" t="s">
        <v>103</v>
      </c>
      <c r="D7" s="112" t="s">
        <v>87</v>
      </c>
      <c r="E7" s="113">
        <v>0</v>
      </c>
    </row>
    <row r="8" spans="1:7">
      <c r="A8" s="61">
        <v>7</v>
      </c>
      <c r="B8" s="61" t="s">
        <v>97</v>
      </c>
      <c r="C8" s="65"/>
      <c r="D8" s="109" t="s">
        <v>87</v>
      </c>
      <c r="E8" s="64">
        <f>E9+E10+E11</f>
        <v>12000000</v>
      </c>
      <c r="F8" s="61" t="s">
        <v>54</v>
      </c>
    </row>
    <row r="9" spans="1:7">
      <c r="A9" s="61">
        <v>8</v>
      </c>
      <c r="B9" s="61" t="s">
        <v>27</v>
      </c>
      <c r="C9" s="65"/>
      <c r="D9" s="109" t="s">
        <v>87</v>
      </c>
      <c r="E9" s="64">
        <v>984000</v>
      </c>
    </row>
    <row r="10" spans="1:7">
      <c r="A10" s="61">
        <v>9</v>
      </c>
      <c r="B10" s="61" t="s">
        <v>98</v>
      </c>
      <c r="C10" s="65"/>
      <c r="D10" s="109" t="s">
        <v>87</v>
      </c>
      <c r="E10" s="64">
        <v>2145000</v>
      </c>
    </row>
    <row r="11" spans="1:7">
      <c r="A11" s="61">
        <v>10</v>
      </c>
      <c r="B11" s="61" t="s">
        <v>99</v>
      </c>
      <c r="C11" s="65"/>
      <c r="D11" s="109" t="s">
        <v>87</v>
      </c>
      <c r="E11" s="64">
        <v>8871000</v>
      </c>
      <c r="G11" s="135"/>
    </row>
    <row r="12" spans="1:7">
      <c r="A12" s="61">
        <v>11</v>
      </c>
      <c r="B12" s="61" t="s">
        <v>100</v>
      </c>
      <c r="C12" s="65"/>
      <c r="D12" s="109" t="s">
        <v>87</v>
      </c>
      <c r="E12" s="64">
        <f>E8*F12</f>
        <v>1440000</v>
      </c>
      <c r="F12" s="125">
        <v>0.12</v>
      </c>
    </row>
    <row r="13" spans="1:7">
      <c r="A13" s="61">
        <v>12</v>
      </c>
      <c r="B13" s="61" t="s">
        <v>101</v>
      </c>
      <c r="C13" s="65"/>
      <c r="D13" s="109" t="s">
        <v>87</v>
      </c>
      <c r="E13" s="64">
        <v>0</v>
      </c>
    </row>
    <row r="14" spans="1:7" ht="24">
      <c r="A14" s="61">
        <v>13</v>
      </c>
      <c r="B14" s="110" t="s">
        <v>117</v>
      </c>
      <c r="C14" s="110"/>
      <c r="D14" s="110" t="s">
        <v>114</v>
      </c>
      <c r="E14" s="128">
        <f>10/60</f>
        <v>0.16666666666666666</v>
      </c>
      <c r="F14" s="2"/>
    </row>
    <row r="15" spans="1:7">
      <c r="A15" s="61">
        <v>14</v>
      </c>
      <c r="B15" s="61" t="s">
        <v>118</v>
      </c>
    </row>
    <row r="16" spans="1:7" ht="24">
      <c r="A16" s="61" t="s">
        <v>123</v>
      </c>
      <c r="B16" s="129" t="s">
        <v>113</v>
      </c>
      <c r="D16" s="61" t="s">
        <v>87</v>
      </c>
      <c r="E16" s="130">
        <v>0.06</v>
      </c>
    </row>
    <row r="17" spans="1:6">
      <c r="A17" s="61" t="s">
        <v>124</v>
      </c>
      <c r="B17" s="129" t="s">
        <v>120</v>
      </c>
      <c r="D17" s="61" t="s">
        <v>87</v>
      </c>
      <c r="E17" s="130">
        <v>1.2</v>
      </c>
      <c r="F17" s="61" t="s">
        <v>119</v>
      </c>
    </row>
    <row r="18" spans="1:6">
      <c r="A18" s="61" t="s">
        <v>125</v>
      </c>
      <c r="B18" s="129" t="s">
        <v>121</v>
      </c>
      <c r="D18" s="110" t="s">
        <v>114</v>
      </c>
      <c r="E18" s="128">
        <f>10/60</f>
        <v>0.16666666666666666</v>
      </c>
    </row>
    <row r="19" spans="1:6" ht="14">
      <c r="A19" s="61">
        <v>15</v>
      </c>
      <c r="B19" s="61" t="s">
        <v>122</v>
      </c>
      <c r="C19" s="72"/>
      <c r="E19" s="130">
        <v>5</v>
      </c>
    </row>
  </sheetData>
  <hyperlinks>
    <hyperlink ref="G4" r:id="rId1"/>
    <hyperlink ref="F17" r:id="rId2" location="a4)"/>
  </hyperlinks>
  <printOptions gridLines="1"/>
  <pageMargins left="0.74803149606299213" right="0.74803149606299213" top="0.98425196850393704" bottom="0.98425196850393704" header="0.51181102362204722" footer="0.51181102362204722"/>
  <pageSetup paperSize="9" scale="61" fitToHeight="100" orientation="landscape"/>
  <headerFooter alignWithMargins="0">
    <oddHeader>&amp;C&amp;A&amp;RMinisterstvo financií Slovenskej republiky</oddHeader>
    <oddFooter>&amp;L&amp;F&amp;C&amp;P /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0"/>
  <sheetViews>
    <sheetView zoomScale="80" zoomScaleNormal="80" zoomScalePageLayoutView="8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baseColWidth="10" defaultColWidth="8.83203125" defaultRowHeight="14" x14ac:dyDescent="0"/>
  <cols>
    <col min="2" max="2" width="66" customWidth="1"/>
    <col min="3" max="3" width="12.6640625" customWidth="1"/>
    <col min="4" max="4" width="10.5" customWidth="1"/>
    <col min="5" max="5" width="9.5" customWidth="1"/>
    <col min="7" max="7" width="11.5" customWidth="1"/>
    <col min="8" max="8" width="10.5" customWidth="1"/>
    <col min="9" max="9" width="11.5" customWidth="1"/>
    <col min="11" max="11" width="9.83203125" bestFit="1" customWidth="1"/>
    <col min="18" max="18" width="14" customWidth="1"/>
    <col min="20" max="20" width="9.83203125" bestFit="1" customWidth="1"/>
    <col min="21" max="21" width="10.5" bestFit="1" customWidth="1"/>
    <col min="22" max="22" width="9.83203125" bestFit="1" customWidth="1"/>
  </cols>
  <sheetData>
    <row r="1" spans="1:22" ht="92.25" customHeight="1">
      <c r="A1" s="137" t="s">
        <v>5</v>
      </c>
      <c r="B1" s="139" t="s">
        <v>55</v>
      </c>
      <c r="C1" s="141" t="s">
        <v>56</v>
      </c>
      <c r="D1" s="136" t="s">
        <v>57</v>
      </c>
      <c r="E1" s="136"/>
      <c r="F1" s="136" t="s">
        <v>58</v>
      </c>
      <c r="G1" s="143" t="s">
        <v>59</v>
      </c>
      <c r="H1" s="144"/>
      <c r="I1" s="143" t="s">
        <v>60</v>
      </c>
      <c r="J1" s="144"/>
      <c r="K1" s="143" t="s">
        <v>95</v>
      </c>
      <c r="L1" s="144"/>
      <c r="M1" s="143" t="s">
        <v>96</v>
      </c>
      <c r="N1" s="144"/>
      <c r="O1" s="143" t="s">
        <v>116</v>
      </c>
      <c r="P1" s="144"/>
      <c r="Q1" s="143" t="s">
        <v>61</v>
      </c>
      <c r="R1" s="144"/>
    </row>
    <row r="2" spans="1:22" ht="15" thickBot="1">
      <c r="A2" s="138"/>
      <c r="B2" s="140"/>
      <c r="C2" s="142"/>
      <c r="D2" s="123"/>
      <c r="E2" s="70"/>
      <c r="F2" s="145"/>
      <c r="G2" s="66" t="s">
        <v>62</v>
      </c>
      <c r="H2" s="67" t="s">
        <v>63</v>
      </c>
      <c r="I2" s="66" t="s">
        <v>62</v>
      </c>
      <c r="J2" s="67" t="s">
        <v>63</v>
      </c>
      <c r="K2" s="66" t="s">
        <v>62</v>
      </c>
      <c r="L2" s="67" t="s">
        <v>63</v>
      </c>
      <c r="M2" s="66" t="s">
        <v>62</v>
      </c>
      <c r="N2" s="67" t="s">
        <v>63</v>
      </c>
      <c r="O2" s="66" t="s">
        <v>62</v>
      </c>
      <c r="P2" s="67" t="s">
        <v>63</v>
      </c>
      <c r="Q2" s="66" t="s">
        <v>62</v>
      </c>
      <c r="R2" s="67" t="s">
        <v>63</v>
      </c>
      <c r="U2" s="72"/>
      <c r="V2" s="72"/>
    </row>
    <row r="3" spans="1:22">
      <c r="A3">
        <v>1</v>
      </c>
      <c r="B3" s="69" t="s">
        <v>106</v>
      </c>
      <c r="C3">
        <v>1</v>
      </c>
      <c r="D3" s="72">
        <v>70000</v>
      </c>
      <c r="E3" s="72">
        <f>D3</f>
        <v>70000</v>
      </c>
      <c r="F3" s="72">
        <v>0</v>
      </c>
      <c r="G3" s="72">
        <f>C3*D3</f>
        <v>70000</v>
      </c>
      <c r="H3" s="72">
        <f>C3*E3</f>
        <v>70000</v>
      </c>
      <c r="I3" s="72">
        <f>F3</f>
        <v>0</v>
      </c>
      <c r="J3" s="72">
        <f>F3</f>
        <v>0</v>
      </c>
      <c r="K3" s="124">
        <f>Konštanty!E14*Konštanty!E19</f>
        <v>0.83333333333333326</v>
      </c>
      <c r="L3">
        <v>0</v>
      </c>
      <c r="M3" s="124">
        <f>(Konštanty!E16/Konštanty!E4+Konštanty!E17/Konštanty!E4+Konštanty!E18)*Konštanty!E19</f>
        <v>2.2273486005089054</v>
      </c>
      <c r="N3">
        <v>0</v>
      </c>
      <c r="O3">
        <v>0</v>
      </c>
      <c r="P3">
        <v>0</v>
      </c>
      <c r="Q3">
        <v>0</v>
      </c>
      <c r="R3" s="72">
        <v>0</v>
      </c>
      <c r="U3" s="72"/>
      <c r="V3" s="72"/>
    </row>
    <row r="4" spans="1:22">
      <c r="A4">
        <v>2</v>
      </c>
      <c r="B4" s="69" t="s">
        <v>107</v>
      </c>
      <c r="C4">
        <v>1</v>
      </c>
      <c r="D4" s="73">
        <v>193296</v>
      </c>
      <c r="E4" s="72">
        <f>D4</f>
        <v>193296</v>
      </c>
      <c r="F4" s="72">
        <v>0</v>
      </c>
      <c r="G4" s="72">
        <f>C4*D4</f>
        <v>193296</v>
      </c>
      <c r="H4" s="72">
        <f>C4*E4</f>
        <v>193296</v>
      </c>
      <c r="I4" s="72">
        <f>F4</f>
        <v>0</v>
      </c>
      <c r="J4" s="72">
        <f>F4</f>
        <v>0</v>
      </c>
      <c r="K4" s="124">
        <f>K3</f>
        <v>0.83333333333333326</v>
      </c>
      <c r="L4">
        <f>L3</f>
        <v>0</v>
      </c>
      <c r="M4" s="124">
        <f t="shared" ref="M4:N4" si="0">M3</f>
        <v>2.2273486005089054</v>
      </c>
      <c r="N4">
        <f t="shared" si="0"/>
        <v>0</v>
      </c>
      <c r="O4">
        <v>0</v>
      </c>
      <c r="P4">
        <v>0</v>
      </c>
      <c r="Q4">
        <v>0</v>
      </c>
      <c r="R4" s="72">
        <v>0</v>
      </c>
      <c r="U4" s="72"/>
      <c r="V4" s="72"/>
    </row>
    <row r="5" spans="1:22">
      <c r="B5" s="68"/>
      <c r="F5" s="106" t="s">
        <v>22</v>
      </c>
      <c r="G5" s="106">
        <f>SUM(G3:G4)</f>
        <v>263296</v>
      </c>
      <c r="H5" s="106">
        <f>SUM(H3:H4)</f>
        <v>263296</v>
      </c>
      <c r="I5" s="107">
        <f>SUMPRODUCT(G3:G4,I3:I4)/SUM(G3:G4)</f>
        <v>0</v>
      </c>
      <c r="J5" s="107">
        <f>SUMPRODUCT(H3:H4,J3:J4)/SUM(H3:H4)</f>
        <v>0</v>
      </c>
      <c r="K5" s="107">
        <f>SUMPRODUCT(G3:G4,K3:K4)/SUM(G3:G4)</f>
        <v>0.83333333333333326</v>
      </c>
      <c r="L5" s="108">
        <f>SUMPRODUCT(H3:H4,L3:L4)/SUM(H3:H4)</f>
        <v>0</v>
      </c>
      <c r="M5" s="107">
        <f>SUMPRODUCT(G3:G4,M3:M4)/SUM(G3:G4)</f>
        <v>2.2273486005089054</v>
      </c>
      <c r="N5" s="108">
        <f>SUMPRODUCT(H3:H4,N3:N4)/SUM(H3:H4)</f>
        <v>0</v>
      </c>
      <c r="O5" s="107">
        <f>SUMPRODUCT(G3:G4,O3:O4)/SUM(G3:G4)</f>
        <v>0</v>
      </c>
      <c r="P5" s="108">
        <f>SUMPRODUCT(H3:H4,P3:P4)/SUM(H3:H4)</f>
        <v>0</v>
      </c>
      <c r="Q5" s="106">
        <f>SUM(Q3:Q4)</f>
        <v>0</v>
      </c>
      <c r="R5" s="106">
        <f>SUM(R3:R4)</f>
        <v>0</v>
      </c>
      <c r="T5" s="72"/>
    </row>
    <row r="6" spans="1:22">
      <c r="B6" s="68"/>
    </row>
    <row r="7" spans="1:22">
      <c r="B7" s="68"/>
    </row>
    <row r="8" spans="1:22">
      <c r="T8" s="72"/>
    </row>
    <row r="9" spans="1:22">
      <c r="T9" s="72"/>
    </row>
    <row r="10" spans="1:22">
      <c r="T10" s="72"/>
    </row>
  </sheetData>
  <mergeCells count="11">
    <mergeCell ref="O1:P1"/>
    <mergeCell ref="Q1:R1"/>
    <mergeCell ref="G1:H1"/>
    <mergeCell ref="I1:J1"/>
    <mergeCell ref="K1:L1"/>
    <mergeCell ref="D1:E1"/>
    <mergeCell ref="A1:A2"/>
    <mergeCell ref="B1:B2"/>
    <mergeCell ref="C1:C2"/>
    <mergeCell ref="M1:N1"/>
    <mergeCell ref="F1:F2"/>
  </mergeCells>
  <pageMargins left="0.7" right="0.31" top="0.75" bottom="0.75" header="0.3" footer="0.3"/>
  <pageSetup paperSize="9" scale="57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8"/>
  <sheetViews>
    <sheetView zoomScale="80" zoomScaleNormal="80" zoomScalePageLayoutView="80" workbookViewId="0">
      <selection activeCell="L53" sqref="L53"/>
    </sheetView>
  </sheetViews>
  <sheetFormatPr baseColWidth="10" defaultColWidth="8.83203125" defaultRowHeight="14" x14ac:dyDescent="0"/>
  <cols>
    <col min="1" max="1" width="3.5" customWidth="1"/>
    <col min="2" max="2" width="15.5" customWidth="1"/>
    <col min="3" max="3" width="30.33203125" customWidth="1"/>
    <col min="4" max="4" width="13" customWidth="1"/>
    <col min="6" max="6" width="12.5" customWidth="1"/>
    <col min="7" max="8" width="12" customWidth="1"/>
    <col min="10" max="10" width="22.5" customWidth="1"/>
    <col min="12" max="12" width="12.5" bestFit="1" customWidth="1"/>
  </cols>
  <sheetData>
    <row r="1" spans="1:12">
      <c r="A1" s="74"/>
      <c r="B1" s="74" t="s">
        <v>64</v>
      </c>
      <c r="C1" s="74" t="s">
        <v>65</v>
      </c>
      <c r="D1" s="74" t="s">
        <v>8</v>
      </c>
      <c r="E1" s="74" t="s">
        <v>32</v>
      </c>
      <c r="F1" s="75" t="s">
        <v>33</v>
      </c>
      <c r="G1" s="76" t="s">
        <v>34</v>
      </c>
      <c r="H1" s="77" t="s">
        <v>35</v>
      </c>
      <c r="I1" s="78"/>
      <c r="J1" s="79" t="s">
        <v>66</v>
      </c>
      <c r="K1" s="78"/>
      <c r="L1" s="78"/>
    </row>
    <row r="2" spans="1:12">
      <c r="A2" s="71"/>
      <c r="B2" s="152" t="s">
        <v>67</v>
      </c>
      <c r="C2" s="152" t="s">
        <v>68</v>
      </c>
      <c r="D2" s="152" t="s">
        <v>69</v>
      </c>
      <c r="E2" s="80" t="s">
        <v>70</v>
      </c>
      <c r="F2" s="81">
        <f>eSluzby!G5</f>
        <v>263296</v>
      </c>
      <c r="G2" s="3">
        <f>F2</f>
        <v>263296</v>
      </c>
      <c r="H2" s="82">
        <f>G2-F2</f>
        <v>0</v>
      </c>
      <c r="I2" s="71"/>
      <c r="J2" s="83"/>
      <c r="K2" s="71"/>
      <c r="L2" s="71"/>
    </row>
    <row r="3" spans="1:12">
      <c r="A3" s="71"/>
      <c r="B3" s="152"/>
      <c r="C3" s="152"/>
      <c r="D3" s="152"/>
      <c r="E3" s="80" t="s">
        <v>71</v>
      </c>
      <c r="F3" s="81">
        <f>F2</f>
        <v>263296</v>
      </c>
      <c r="G3" s="3">
        <f>F3</f>
        <v>263296</v>
      </c>
      <c r="H3" s="82">
        <f t="shared" ref="H3:H16" si="0">G3-F3</f>
        <v>0</v>
      </c>
      <c r="I3" s="71"/>
      <c r="J3" s="84"/>
      <c r="K3" s="71"/>
      <c r="L3" s="71"/>
    </row>
    <row r="4" spans="1:12">
      <c r="A4" s="71"/>
      <c r="B4" s="152"/>
      <c r="C4" s="152"/>
      <c r="D4" s="152"/>
      <c r="E4" s="71" t="s">
        <v>72</v>
      </c>
      <c r="F4" s="81">
        <f>F3</f>
        <v>263296</v>
      </c>
      <c r="G4" s="3">
        <f>eSluzby!H5</f>
        <v>263296</v>
      </c>
      <c r="H4" s="82">
        <f t="shared" si="0"/>
        <v>0</v>
      </c>
      <c r="I4" s="71"/>
      <c r="J4" s="84"/>
      <c r="K4" s="71"/>
      <c r="L4" s="71"/>
    </row>
    <row r="5" spans="1:12">
      <c r="A5" s="71"/>
      <c r="B5" s="152"/>
      <c r="C5" s="152"/>
      <c r="D5" s="152"/>
      <c r="E5" s="71" t="s">
        <v>73</v>
      </c>
      <c r="F5" s="81">
        <f t="shared" ref="F5:G16" si="1">F4</f>
        <v>263296</v>
      </c>
      <c r="G5" s="3">
        <f>G4</f>
        <v>263296</v>
      </c>
      <c r="H5" s="82">
        <f t="shared" si="0"/>
        <v>0</v>
      </c>
      <c r="I5" s="71"/>
      <c r="J5" s="84"/>
      <c r="K5" s="71"/>
      <c r="L5" s="71"/>
    </row>
    <row r="6" spans="1:12">
      <c r="A6" s="71"/>
      <c r="B6" s="152"/>
      <c r="C6" s="152"/>
      <c r="D6" s="152"/>
      <c r="E6" s="71" t="s">
        <v>74</v>
      </c>
      <c r="F6" s="81">
        <f t="shared" si="1"/>
        <v>263296</v>
      </c>
      <c r="G6" s="3">
        <f t="shared" si="1"/>
        <v>263296</v>
      </c>
      <c r="H6" s="82">
        <f t="shared" si="0"/>
        <v>0</v>
      </c>
      <c r="I6" s="71"/>
      <c r="J6" s="84"/>
      <c r="K6" s="71"/>
      <c r="L6" s="71"/>
    </row>
    <row r="7" spans="1:12">
      <c r="A7" s="71"/>
      <c r="B7" s="152"/>
      <c r="C7" s="152"/>
      <c r="D7" s="152"/>
      <c r="E7" s="71" t="s">
        <v>75</v>
      </c>
      <c r="F7" s="81">
        <f t="shared" si="1"/>
        <v>263296</v>
      </c>
      <c r="G7" s="3">
        <f t="shared" si="1"/>
        <v>263296</v>
      </c>
      <c r="H7" s="82">
        <f t="shared" si="0"/>
        <v>0</v>
      </c>
      <c r="I7" s="71"/>
      <c r="J7" s="84"/>
      <c r="K7" s="71"/>
      <c r="L7" s="71"/>
    </row>
    <row r="8" spans="1:12">
      <c r="A8" s="71"/>
      <c r="B8" s="152"/>
      <c r="C8" s="152"/>
      <c r="D8" s="152"/>
      <c r="E8" s="71" t="s">
        <v>76</v>
      </c>
      <c r="F8" s="81">
        <f t="shared" si="1"/>
        <v>263296</v>
      </c>
      <c r="G8" s="3">
        <f t="shared" si="1"/>
        <v>263296</v>
      </c>
      <c r="H8" s="82">
        <f t="shared" si="0"/>
        <v>0</v>
      </c>
      <c r="I8" s="71"/>
      <c r="J8" s="84"/>
      <c r="K8" s="71"/>
      <c r="L8" s="71"/>
    </row>
    <row r="9" spans="1:12">
      <c r="A9" s="71"/>
      <c r="B9" s="152"/>
      <c r="C9" s="152"/>
      <c r="D9" s="152"/>
      <c r="E9" s="71" t="s">
        <v>77</v>
      </c>
      <c r="F9" s="81">
        <f t="shared" si="1"/>
        <v>263296</v>
      </c>
      <c r="G9" s="3">
        <f t="shared" si="1"/>
        <v>263296</v>
      </c>
      <c r="H9" s="82">
        <f t="shared" si="0"/>
        <v>0</v>
      </c>
      <c r="I9" s="71"/>
      <c r="J9" s="84"/>
      <c r="K9" s="71"/>
      <c r="L9" s="71"/>
    </row>
    <row r="10" spans="1:12">
      <c r="A10" s="71"/>
      <c r="B10" s="152"/>
      <c r="C10" s="152"/>
      <c r="D10" s="152"/>
      <c r="E10" s="71" t="s">
        <v>78</v>
      </c>
      <c r="F10" s="81">
        <f t="shared" si="1"/>
        <v>263296</v>
      </c>
      <c r="G10" s="3">
        <f t="shared" si="1"/>
        <v>263296</v>
      </c>
      <c r="H10" s="82">
        <f t="shared" si="0"/>
        <v>0</v>
      </c>
      <c r="I10" s="71"/>
      <c r="J10" s="84"/>
      <c r="K10" s="71"/>
      <c r="L10" s="71"/>
    </row>
    <row r="11" spans="1:12">
      <c r="A11" s="71"/>
      <c r="B11" s="152"/>
      <c r="C11" s="152"/>
      <c r="D11" s="152"/>
      <c r="E11" s="71" t="s">
        <v>79</v>
      </c>
      <c r="F11" s="81">
        <f t="shared" si="1"/>
        <v>263296</v>
      </c>
      <c r="G11" s="3">
        <f t="shared" si="1"/>
        <v>263296</v>
      </c>
      <c r="H11" s="82">
        <f t="shared" si="0"/>
        <v>0</v>
      </c>
      <c r="I11" s="71"/>
      <c r="J11" s="84"/>
      <c r="K11" s="71"/>
      <c r="L11" s="71"/>
    </row>
    <row r="12" spans="1:12">
      <c r="A12" s="71"/>
      <c r="B12" s="152"/>
      <c r="C12" s="152"/>
      <c r="D12" s="152"/>
      <c r="E12" s="71" t="s">
        <v>80</v>
      </c>
      <c r="F12" s="81">
        <f t="shared" si="1"/>
        <v>263296</v>
      </c>
      <c r="G12" s="3">
        <f t="shared" si="1"/>
        <v>263296</v>
      </c>
      <c r="H12" s="82">
        <f t="shared" si="0"/>
        <v>0</v>
      </c>
      <c r="I12" s="71"/>
      <c r="J12" s="84"/>
      <c r="K12" s="71"/>
      <c r="L12" s="71"/>
    </row>
    <row r="13" spans="1:12">
      <c r="A13" s="71"/>
      <c r="B13" s="152"/>
      <c r="C13" s="152"/>
      <c r="D13" s="152"/>
      <c r="E13" s="71" t="s">
        <v>81</v>
      </c>
      <c r="F13" s="81">
        <f t="shared" si="1"/>
        <v>263296</v>
      </c>
      <c r="G13" s="3">
        <f t="shared" si="1"/>
        <v>263296</v>
      </c>
      <c r="H13" s="82">
        <f t="shared" si="0"/>
        <v>0</v>
      </c>
      <c r="I13" s="71"/>
      <c r="J13" s="84"/>
      <c r="K13" s="71"/>
      <c r="L13" s="71"/>
    </row>
    <row r="14" spans="1:12">
      <c r="A14" s="71"/>
      <c r="B14" s="152"/>
      <c r="C14" s="152"/>
      <c r="D14" s="152"/>
      <c r="E14" s="71" t="s">
        <v>82</v>
      </c>
      <c r="F14" s="81">
        <f t="shared" si="1"/>
        <v>263296</v>
      </c>
      <c r="G14" s="3">
        <f t="shared" si="1"/>
        <v>263296</v>
      </c>
      <c r="H14" s="82">
        <f t="shared" si="0"/>
        <v>0</v>
      </c>
      <c r="I14" s="71"/>
      <c r="J14" s="84"/>
      <c r="K14" s="71"/>
      <c r="L14" s="71"/>
    </row>
    <row r="15" spans="1:12">
      <c r="A15" s="71"/>
      <c r="B15" s="152"/>
      <c r="C15" s="152"/>
      <c r="D15" s="152"/>
      <c r="E15" s="71" t="s">
        <v>83</v>
      </c>
      <c r="F15" s="81">
        <f t="shared" si="1"/>
        <v>263296</v>
      </c>
      <c r="G15" s="3">
        <f t="shared" si="1"/>
        <v>263296</v>
      </c>
      <c r="H15" s="82">
        <f t="shared" si="0"/>
        <v>0</v>
      </c>
      <c r="I15" s="71"/>
      <c r="J15" s="84"/>
      <c r="K15" s="71"/>
      <c r="L15" s="71"/>
    </row>
    <row r="16" spans="1:12">
      <c r="A16" s="85"/>
      <c r="B16" s="150"/>
      <c r="C16" s="150"/>
      <c r="D16" s="150"/>
      <c r="E16" s="85" t="s">
        <v>84</v>
      </c>
      <c r="F16" s="81">
        <f t="shared" si="1"/>
        <v>263296</v>
      </c>
      <c r="G16" s="3">
        <f t="shared" si="1"/>
        <v>263296</v>
      </c>
      <c r="H16" s="86">
        <f t="shared" si="0"/>
        <v>0</v>
      </c>
      <c r="I16" s="85"/>
      <c r="J16" s="87"/>
      <c r="K16" s="85"/>
      <c r="L16" s="85"/>
    </row>
    <row r="17" spans="1:13">
      <c r="A17" s="88"/>
      <c r="B17" s="149" t="s">
        <v>85</v>
      </c>
      <c r="C17" s="149" t="s">
        <v>86</v>
      </c>
      <c r="D17" s="149" t="s">
        <v>87</v>
      </c>
      <c r="E17" s="89" t="s">
        <v>70</v>
      </c>
      <c r="F17" s="90">
        <f>eSluzby!I5</f>
        <v>0</v>
      </c>
      <c r="G17" s="91">
        <f>(1-J17)*F17+J17*eSluzby!J$5</f>
        <v>0</v>
      </c>
      <c r="H17" s="92">
        <f>IF(ISERR(G17-F17),"-",G17-F17)</f>
        <v>0</v>
      </c>
      <c r="I17" s="88"/>
      <c r="J17" s="93">
        <v>0</v>
      </c>
      <c r="K17" s="88"/>
    </row>
    <row r="18" spans="1:13">
      <c r="A18" s="94"/>
      <c r="B18" s="146"/>
      <c r="C18" s="146"/>
      <c r="D18" s="146"/>
      <c r="E18" s="95" t="s">
        <v>71</v>
      </c>
      <c r="F18" s="96">
        <f>F17</f>
        <v>0</v>
      </c>
      <c r="G18" s="97">
        <f>(1-J18)*F18+J18*eSluzby!J$5</f>
        <v>0</v>
      </c>
      <c r="H18" s="98">
        <f t="shared" ref="H18:H31" si="2">IF(ISERR(G18-F18),"-",G18-F18)</f>
        <v>0</v>
      </c>
      <c r="I18" s="94"/>
      <c r="J18" s="84">
        <v>0</v>
      </c>
      <c r="K18" s="94"/>
    </row>
    <row r="19" spans="1:13">
      <c r="A19" s="94"/>
      <c r="B19" s="146"/>
      <c r="C19" s="146"/>
      <c r="D19" s="146"/>
      <c r="E19" s="94" t="s">
        <v>72</v>
      </c>
      <c r="F19" s="96">
        <f>F18</f>
        <v>0</v>
      </c>
      <c r="G19" s="97">
        <f>(1-J19)*F19+J19*eSluzby!J$5</f>
        <v>0</v>
      </c>
      <c r="H19" s="98">
        <f t="shared" si="2"/>
        <v>0</v>
      </c>
      <c r="I19" s="94"/>
      <c r="J19" s="84">
        <v>0.5</v>
      </c>
      <c r="K19" s="94"/>
      <c r="M19" s="84"/>
    </row>
    <row r="20" spans="1:13">
      <c r="A20" s="94"/>
      <c r="B20" s="146"/>
      <c r="C20" s="146"/>
      <c r="D20" s="146"/>
      <c r="E20" s="94" t="s">
        <v>73</v>
      </c>
      <c r="F20" s="96">
        <f t="shared" ref="F20:F31" si="3">F19</f>
        <v>0</v>
      </c>
      <c r="G20" s="97">
        <f>(1-J20)*F20+J20*eSluzby!J$5</f>
        <v>0</v>
      </c>
      <c r="H20" s="98">
        <f t="shared" si="2"/>
        <v>0</v>
      </c>
      <c r="I20" s="94"/>
      <c r="J20" s="84">
        <v>0.6</v>
      </c>
      <c r="K20" s="94"/>
      <c r="M20" s="84"/>
    </row>
    <row r="21" spans="1:13">
      <c r="A21" s="94"/>
      <c r="B21" s="146"/>
      <c r="C21" s="146"/>
      <c r="D21" s="146"/>
      <c r="E21" s="94" t="s">
        <v>74</v>
      </c>
      <c r="F21" s="96">
        <f t="shared" si="3"/>
        <v>0</v>
      </c>
      <c r="G21" s="97">
        <f>(1-J21)*F21+J21*eSluzby!J$5</f>
        <v>0</v>
      </c>
      <c r="H21" s="98">
        <f t="shared" si="2"/>
        <v>0</v>
      </c>
      <c r="I21" s="94"/>
      <c r="J21" s="84">
        <v>0.7</v>
      </c>
      <c r="K21" s="94"/>
      <c r="M21" s="84"/>
    </row>
    <row r="22" spans="1:13">
      <c r="A22" s="94"/>
      <c r="B22" s="146"/>
      <c r="C22" s="146"/>
      <c r="D22" s="146"/>
      <c r="E22" s="94" t="s">
        <v>75</v>
      </c>
      <c r="F22" s="96">
        <f t="shared" si="3"/>
        <v>0</v>
      </c>
      <c r="G22" s="97">
        <f>(1-J22)*F22+J22*eSluzby!J$5</f>
        <v>0</v>
      </c>
      <c r="H22" s="98">
        <f t="shared" si="2"/>
        <v>0</v>
      </c>
      <c r="I22" s="94"/>
      <c r="J22" s="84">
        <v>0.8</v>
      </c>
      <c r="K22" s="94"/>
    </row>
    <row r="23" spans="1:13">
      <c r="A23" s="94"/>
      <c r="B23" s="146"/>
      <c r="C23" s="146"/>
      <c r="D23" s="146"/>
      <c r="E23" s="94" t="s">
        <v>76</v>
      </c>
      <c r="F23" s="96">
        <f t="shared" si="3"/>
        <v>0</v>
      </c>
      <c r="G23" s="97">
        <f>(1-J23)*F23+J23*eSluzby!J$5</f>
        <v>0</v>
      </c>
      <c r="H23" s="98">
        <f t="shared" si="2"/>
        <v>0</v>
      </c>
      <c r="I23" s="94"/>
      <c r="J23" s="84">
        <v>0.9</v>
      </c>
      <c r="K23" s="127" t="s">
        <v>126</v>
      </c>
    </row>
    <row r="24" spans="1:13">
      <c r="A24" s="94"/>
      <c r="B24" s="146"/>
      <c r="C24" s="146"/>
      <c r="D24" s="146"/>
      <c r="E24" s="94" t="s">
        <v>77</v>
      </c>
      <c r="F24" s="96">
        <f t="shared" si="3"/>
        <v>0</v>
      </c>
      <c r="G24" s="97">
        <f>(1-J24)*F24+J24*eSluzby!J$5</f>
        <v>0</v>
      </c>
      <c r="H24" s="98">
        <f t="shared" si="2"/>
        <v>0</v>
      </c>
      <c r="I24" s="94"/>
      <c r="J24" s="84">
        <v>1</v>
      </c>
      <c r="K24" s="94"/>
      <c r="L24" s="94"/>
    </row>
    <row r="25" spans="1:13">
      <c r="A25" s="94"/>
      <c r="B25" s="146"/>
      <c r="C25" s="146"/>
      <c r="D25" s="146"/>
      <c r="E25" s="94" t="s">
        <v>78</v>
      </c>
      <c r="F25" s="96">
        <f t="shared" si="3"/>
        <v>0</v>
      </c>
      <c r="G25" s="97">
        <f>(1-J25)*F25+J25*eSluzby!J$5</f>
        <v>0</v>
      </c>
      <c r="H25" s="98">
        <f t="shared" si="2"/>
        <v>0</v>
      </c>
      <c r="I25" s="94"/>
      <c r="J25" s="84">
        <v>1</v>
      </c>
      <c r="K25" s="94"/>
      <c r="L25" s="94"/>
    </row>
    <row r="26" spans="1:13">
      <c r="A26" s="94"/>
      <c r="B26" s="146"/>
      <c r="C26" s="146"/>
      <c r="D26" s="146"/>
      <c r="E26" s="94" t="s">
        <v>79</v>
      </c>
      <c r="F26" s="96">
        <f t="shared" si="3"/>
        <v>0</v>
      </c>
      <c r="G26" s="97">
        <f>(1-J26)*F26+J26*eSluzby!J$5</f>
        <v>0</v>
      </c>
      <c r="H26" s="98">
        <f t="shared" si="2"/>
        <v>0</v>
      </c>
      <c r="I26" s="94"/>
      <c r="J26" s="84">
        <v>1</v>
      </c>
      <c r="K26" s="94"/>
      <c r="L26" s="94"/>
    </row>
    <row r="27" spans="1:13">
      <c r="A27" s="94"/>
      <c r="B27" s="146"/>
      <c r="C27" s="146"/>
      <c r="D27" s="146"/>
      <c r="E27" s="94" t="s">
        <v>80</v>
      </c>
      <c r="F27" s="96">
        <f t="shared" si="3"/>
        <v>0</v>
      </c>
      <c r="G27" s="97">
        <f>(1-J27)*F27+J27*eSluzby!J$5</f>
        <v>0</v>
      </c>
      <c r="H27" s="98">
        <f t="shared" si="2"/>
        <v>0</v>
      </c>
      <c r="I27" s="94"/>
      <c r="J27" s="84">
        <v>1</v>
      </c>
      <c r="K27" s="94"/>
      <c r="L27" s="94"/>
    </row>
    <row r="28" spans="1:13">
      <c r="A28" s="94"/>
      <c r="B28" s="146"/>
      <c r="C28" s="146"/>
      <c r="D28" s="146"/>
      <c r="E28" s="94" t="s">
        <v>81</v>
      </c>
      <c r="F28" s="96">
        <f t="shared" si="3"/>
        <v>0</v>
      </c>
      <c r="G28" s="97">
        <f>(1-J28)*F28+J28*eSluzby!J$5</f>
        <v>0</v>
      </c>
      <c r="H28" s="98">
        <f t="shared" si="2"/>
        <v>0</v>
      </c>
      <c r="I28" s="94"/>
      <c r="J28" s="84">
        <v>1</v>
      </c>
      <c r="K28" s="94"/>
      <c r="L28" s="94"/>
    </row>
    <row r="29" spans="1:13">
      <c r="A29" s="94"/>
      <c r="B29" s="146"/>
      <c r="C29" s="146"/>
      <c r="D29" s="146"/>
      <c r="E29" s="94" t="s">
        <v>82</v>
      </c>
      <c r="F29" s="96">
        <f t="shared" si="3"/>
        <v>0</v>
      </c>
      <c r="G29" s="97">
        <f>(1-J29)*F29+J29*eSluzby!J$5</f>
        <v>0</v>
      </c>
      <c r="H29" s="98">
        <f t="shared" si="2"/>
        <v>0</v>
      </c>
      <c r="I29" s="94"/>
      <c r="J29" s="84">
        <v>1</v>
      </c>
      <c r="K29" s="94"/>
      <c r="L29" s="94"/>
    </row>
    <row r="30" spans="1:13">
      <c r="A30" s="94"/>
      <c r="B30" s="146"/>
      <c r="C30" s="146"/>
      <c r="D30" s="146"/>
      <c r="E30" s="94" t="s">
        <v>83</v>
      </c>
      <c r="F30" s="96">
        <f t="shared" si="3"/>
        <v>0</v>
      </c>
      <c r="G30" s="97">
        <f>(1-J30)*F30+J30*eSluzby!J$5</f>
        <v>0</v>
      </c>
      <c r="H30" s="98">
        <f t="shared" si="2"/>
        <v>0</v>
      </c>
      <c r="I30" s="94"/>
      <c r="J30" s="84">
        <v>1</v>
      </c>
      <c r="K30" s="94"/>
      <c r="L30" s="94"/>
    </row>
    <row r="31" spans="1:13">
      <c r="A31" s="85"/>
      <c r="B31" s="150"/>
      <c r="C31" s="150"/>
      <c r="D31" s="150"/>
      <c r="E31" s="85" t="s">
        <v>84</v>
      </c>
      <c r="F31" s="96">
        <f t="shared" si="3"/>
        <v>0</v>
      </c>
      <c r="G31" s="97">
        <f>(1-J31)*F31+J31*eSluzby!J$5</f>
        <v>0</v>
      </c>
      <c r="H31" s="99">
        <f t="shared" si="2"/>
        <v>0</v>
      </c>
      <c r="I31" s="85"/>
      <c r="J31" s="87">
        <v>1</v>
      </c>
      <c r="K31" s="85"/>
      <c r="L31" s="85"/>
    </row>
    <row r="32" spans="1:13">
      <c r="A32" s="88"/>
      <c r="B32" s="149" t="s">
        <v>88</v>
      </c>
      <c r="C32" s="149" t="s">
        <v>89</v>
      </c>
      <c r="D32" s="149" t="s">
        <v>90</v>
      </c>
      <c r="E32" s="89" t="s">
        <v>70</v>
      </c>
      <c r="F32" s="90">
        <f>eSluzby!K5</f>
        <v>0.83333333333333326</v>
      </c>
      <c r="G32" s="91">
        <f>(1-J32)*F32+J32*eSluzby!L$5</f>
        <v>0.83333333333333326</v>
      </c>
      <c r="H32" s="92">
        <f>IF(ISERR(G32-F32),"-",G32-F32)</f>
        <v>0</v>
      </c>
      <c r="I32" s="88"/>
      <c r="J32" s="93">
        <f>J17</f>
        <v>0</v>
      </c>
      <c r="K32" s="88"/>
      <c r="L32" s="88"/>
    </row>
    <row r="33" spans="1:12">
      <c r="A33" s="94"/>
      <c r="B33" s="146"/>
      <c r="C33" s="146"/>
      <c r="D33" s="146"/>
      <c r="E33" s="95" t="s">
        <v>71</v>
      </c>
      <c r="F33" s="96">
        <f>F32</f>
        <v>0.83333333333333326</v>
      </c>
      <c r="G33" s="97">
        <f>(1-J33)*F33+J33*eSluzby!L$5</f>
        <v>0.83333333333333326</v>
      </c>
      <c r="H33" s="98">
        <f t="shared" ref="H33:H46" si="4">IF(ISERR(G33-F33),"-",G33-F33)</f>
        <v>0</v>
      </c>
      <c r="I33" s="94"/>
      <c r="J33" s="84">
        <f t="shared" ref="J33:J46" si="5">J18</f>
        <v>0</v>
      </c>
      <c r="K33" s="94"/>
      <c r="L33" s="94"/>
    </row>
    <row r="34" spans="1:12">
      <c r="A34" s="94"/>
      <c r="B34" s="146"/>
      <c r="C34" s="146"/>
      <c r="D34" s="146"/>
      <c r="E34" s="94" t="s">
        <v>72</v>
      </c>
      <c r="F34" s="96">
        <f t="shared" ref="F34:F46" si="6">F33</f>
        <v>0.83333333333333326</v>
      </c>
      <c r="G34" s="97">
        <f>(1-J34)*F34+J34*eSluzby!L$5</f>
        <v>0.41666666666666663</v>
      </c>
      <c r="H34" s="98">
        <f t="shared" si="4"/>
        <v>-0.41666666666666663</v>
      </c>
      <c r="I34" s="94"/>
      <c r="J34" s="84">
        <f t="shared" si="5"/>
        <v>0.5</v>
      </c>
      <c r="K34" s="94"/>
      <c r="L34" s="94"/>
    </row>
    <row r="35" spans="1:12">
      <c r="A35" s="94"/>
      <c r="B35" s="146"/>
      <c r="C35" s="146"/>
      <c r="D35" s="146"/>
      <c r="E35" s="94" t="s">
        <v>73</v>
      </c>
      <c r="F35" s="96">
        <f t="shared" si="6"/>
        <v>0.83333333333333326</v>
      </c>
      <c r="G35" s="97">
        <f>(1-J35)*F35+J35*eSluzby!L$5</f>
        <v>0.33333333333333331</v>
      </c>
      <c r="H35" s="98">
        <f t="shared" si="4"/>
        <v>-0.49999999999999994</v>
      </c>
      <c r="I35" s="94"/>
      <c r="J35" s="84">
        <f t="shared" si="5"/>
        <v>0.6</v>
      </c>
      <c r="K35" s="94"/>
      <c r="L35" s="94"/>
    </row>
    <row r="36" spans="1:12">
      <c r="A36" s="94"/>
      <c r="B36" s="146"/>
      <c r="C36" s="146"/>
      <c r="D36" s="146"/>
      <c r="E36" s="94" t="s">
        <v>74</v>
      </c>
      <c r="F36" s="96">
        <f t="shared" si="6"/>
        <v>0.83333333333333326</v>
      </c>
      <c r="G36" s="97">
        <f>(1-J36)*F36+J36*eSluzby!L$5</f>
        <v>0.25</v>
      </c>
      <c r="H36" s="98">
        <f t="shared" si="4"/>
        <v>-0.58333333333333326</v>
      </c>
      <c r="I36" s="94"/>
      <c r="J36" s="84">
        <f t="shared" si="5"/>
        <v>0.7</v>
      </c>
      <c r="K36" s="94"/>
      <c r="L36" s="94"/>
    </row>
    <row r="37" spans="1:12">
      <c r="A37" s="94"/>
      <c r="B37" s="146"/>
      <c r="C37" s="146"/>
      <c r="D37" s="146"/>
      <c r="E37" s="94" t="s">
        <v>75</v>
      </c>
      <c r="F37" s="96">
        <f t="shared" si="6"/>
        <v>0.83333333333333326</v>
      </c>
      <c r="G37" s="97">
        <f>(1-J37)*F37+J37*eSluzby!L$5</f>
        <v>0.1666666666666666</v>
      </c>
      <c r="H37" s="98">
        <f t="shared" si="4"/>
        <v>-0.66666666666666663</v>
      </c>
      <c r="I37" s="94"/>
      <c r="J37" s="84">
        <f t="shared" si="5"/>
        <v>0.8</v>
      </c>
      <c r="K37" s="94"/>
      <c r="L37" s="94"/>
    </row>
    <row r="38" spans="1:12">
      <c r="A38" s="94"/>
      <c r="B38" s="146"/>
      <c r="C38" s="146"/>
      <c r="D38" s="146"/>
      <c r="E38" s="94" t="s">
        <v>76</v>
      </c>
      <c r="F38" s="96">
        <f t="shared" si="6"/>
        <v>0.83333333333333326</v>
      </c>
      <c r="G38" s="97">
        <f>(1-J38)*F38+J38*eSluzby!L$5</f>
        <v>8.3333333333333301E-2</v>
      </c>
      <c r="H38" s="98">
        <f t="shared" si="4"/>
        <v>-0.75</v>
      </c>
      <c r="I38" s="94"/>
      <c r="J38" s="84">
        <f t="shared" si="5"/>
        <v>0.9</v>
      </c>
      <c r="K38" s="94"/>
      <c r="L38" s="94"/>
    </row>
    <row r="39" spans="1:12">
      <c r="A39" s="94"/>
      <c r="B39" s="146"/>
      <c r="C39" s="146"/>
      <c r="D39" s="146"/>
      <c r="E39" s="94" t="s">
        <v>77</v>
      </c>
      <c r="F39" s="96">
        <f t="shared" si="6"/>
        <v>0.83333333333333326</v>
      </c>
      <c r="G39" s="97">
        <f>(1-J39)*F39+J39*eSluzby!L$5</f>
        <v>0</v>
      </c>
      <c r="H39" s="98">
        <f t="shared" si="4"/>
        <v>-0.83333333333333326</v>
      </c>
      <c r="I39" s="94"/>
      <c r="J39" s="84">
        <f t="shared" si="5"/>
        <v>1</v>
      </c>
      <c r="K39" s="94"/>
      <c r="L39" s="94"/>
    </row>
    <row r="40" spans="1:12">
      <c r="A40" s="94"/>
      <c r="B40" s="146"/>
      <c r="C40" s="146"/>
      <c r="D40" s="146"/>
      <c r="E40" s="94" t="s">
        <v>78</v>
      </c>
      <c r="F40" s="96">
        <f t="shared" si="6"/>
        <v>0.83333333333333326</v>
      </c>
      <c r="G40" s="97">
        <f>(1-J40)*F40+J40*eSluzby!L$5</f>
        <v>0</v>
      </c>
      <c r="H40" s="98">
        <f t="shared" si="4"/>
        <v>-0.83333333333333326</v>
      </c>
      <c r="I40" s="94"/>
      <c r="J40" s="84">
        <f t="shared" si="5"/>
        <v>1</v>
      </c>
      <c r="K40" s="94"/>
      <c r="L40" s="94"/>
    </row>
    <row r="41" spans="1:12">
      <c r="A41" s="94"/>
      <c r="B41" s="146"/>
      <c r="C41" s="146"/>
      <c r="D41" s="146"/>
      <c r="E41" s="94" t="s">
        <v>79</v>
      </c>
      <c r="F41" s="96">
        <f t="shared" si="6"/>
        <v>0.83333333333333326</v>
      </c>
      <c r="G41" s="97">
        <f>(1-J41)*F41+J41*eSluzby!L$5</f>
        <v>0</v>
      </c>
      <c r="H41" s="98">
        <f t="shared" si="4"/>
        <v>-0.83333333333333326</v>
      </c>
      <c r="I41" s="94"/>
      <c r="J41" s="84">
        <f t="shared" si="5"/>
        <v>1</v>
      </c>
      <c r="K41" s="94"/>
      <c r="L41" s="94"/>
    </row>
    <row r="42" spans="1:12">
      <c r="A42" s="94"/>
      <c r="B42" s="146"/>
      <c r="C42" s="146"/>
      <c r="D42" s="146"/>
      <c r="E42" s="94" t="s">
        <v>80</v>
      </c>
      <c r="F42" s="96">
        <f t="shared" si="6"/>
        <v>0.83333333333333326</v>
      </c>
      <c r="G42" s="97">
        <f>(1-J42)*F42+J42*eSluzby!L$5</f>
        <v>0</v>
      </c>
      <c r="H42" s="98">
        <f t="shared" si="4"/>
        <v>-0.83333333333333326</v>
      </c>
      <c r="I42" s="94"/>
      <c r="J42" s="84">
        <f t="shared" si="5"/>
        <v>1</v>
      </c>
      <c r="K42" s="94"/>
      <c r="L42" s="94"/>
    </row>
    <row r="43" spans="1:12">
      <c r="A43" s="94"/>
      <c r="B43" s="146"/>
      <c r="C43" s="146"/>
      <c r="D43" s="146"/>
      <c r="E43" s="94" t="s">
        <v>81</v>
      </c>
      <c r="F43" s="96">
        <f t="shared" si="6"/>
        <v>0.83333333333333326</v>
      </c>
      <c r="G43" s="97">
        <f>(1-J43)*F43+J43*eSluzby!L$5</f>
        <v>0</v>
      </c>
      <c r="H43" s="98">
        <f t="shared" si="4"/>
        <v>-0.83333333333333326</v>
      </c>
      <c r="I43" s="94"/>
      <c r="J43" s="84">
        <f t="shared" si="5"/>
        <v>1</v>
      </c>
      <c r="K43" s="94"/>
      <c r="L43" s="94"/>
    </row>
    <row r="44" spans="1:12">
      <c r="A44" s="94"/>
      <c r="B44" s="146"/>
      <c r="C44" s="146"/>
      <c r="D44" s="146"/>
      <c r="E44" s="94" t="s">
        <v>82</v>
      </c>
      <c r="F44" s="96">
        <f t="shared" si="6"/>
        <v>0.83333333333333326</v>
      </c>
      <c r="G44" s="97">
        <f>(1-J44)*F44+J44*eSluzby!L$5</f>
        <v>0</v>
      </c>
      <c r="H44" s="98">
        <f t="shared" si="4"/>
        <v>-0.83333333333333326</v>
      </c>
      <c r="I44" s="94"/>
      <c r="J44" s="84">
        <f t="shared" si="5"/>
        <v>1</v>
      </c>
      <c r="K44" s="94"/>
      <c r="L44" s="94"/>
    </row>
    <row r="45" spans="1:12">
      <c r="A45" s="94"/>
      <c r="B45" s="146"/>
      <c r="C45" s="146"/>
      <c r="D45" s="146"/>
      <c r="E45" s="94" t="s">
        <v>83</v>
      </c>
      <c r="F45" s="96">
        <f t="shared" si="6"/>
        <v>0.83333333333333326</v>
      </c>
      <c r="G45" s="97">
        <f>(1-J45)*F45+J45*eSluzby!L$5</f>
        <v>0</v>
      </c>
      <c r="H45" s="98">
        <f t="shared" si="4"/>
        <v>-0.83333333333333326</v>
      </c>
      <c r="I45" s="94"/>
      <c r="J45" s="84">
        <f t="shared" si="5"/>
        <v>1</v>
      </c>
      <c r="K45" s="94"/>
      <c r="L45" s="94"/>
    </row>
    <row r="46" spans="1:12">
      <c r="A46" s="85"/>
      <c r="B46" s="150"/>
      <c r="C46" s="150"/>
      <c r="D46" s="150"/>
      <c r="E46" s="85" t="s">
        <v>84</v>
      </c>
      <c r="F46" s="100">
        <f t="shared" si="6"/>
        <v>0.83333333333333326</v>
      </c>
      <c r="G46" s="97">
        <f>(1-J46)*F46+J46*eSluzby!L$5</f>
        <v>0</v>
      </c>
      <c r="H46" s="99">
        <f t="shared" si="4"/>
        <v>-0.83333333333333326</v>
      </c>
      <c r="I46" s="85"/>
      <c r="J46" s="87">
        <f t="shared" si="5"/>
        <v>1</v>
      </c>
      <c r="K46" s="85"/>
      <c r="L46" s="85"/>
    </row>
    <row r="47" spans="1:12">
      <c r="A47" s="88"/>
      <c r="B47" s="149" t="s">
        <v>91</v>
      </c>
      <c r="C47" s="149" t="s">
        <v>108</v>
      </c>
      <c r="D47" s="149" t="s">
        <v>90</v>
      </c>
      <c r="E47" s="89" t="s">
        <v>70</v>
      </c>
      <c r="F47" s="90">
        <f>eSluzby!M5</f>
        <v>2.2273486005089054</v>
      </c>
      <c r="G47" s="91">
        <f>(1-J47)*F47+J47*eSluzby!N$5</f>
        <v>2.2273486005089054</v>
      </c>
      <c r="H47" s="92">
        <f>IF(ISERR(G47-F47),"-",G47-F47)</f>
        <v>0</v>
      </c>
      <c r="I47" s="88"/>
      <c r="J47" s="93">
        <f>J17</f>
        <v>0</v>
      </c>
      <c r="K47" s="132">
        <v>2013</v>
      </c>
      <c r="L47" s="88"/>
    </row>
    <row r="48" spans="1:12">
      <c r="A48" s="94"/>
      <c r="B48" s="146"/>
      <c r="C48" s="146"/>
      <c r="D48" s="146"/>
      <c r="E48" s="95" t="s">
        <v>71</v>
      </c>
      <c r="F48" s="96">
        <f>F47</f>
        <v>2.2273486005089054</v>
      </c>
      <c r="G48" s="97">
        <f>(1-J48)*F48+J48*eSluzby!N$5</f>
        <v>2.2273486005089054</v>
      </c>
      <c r="H48" s="98">
        <f t="shared" ref="H48:H61" si="7">IF(ISERR(G48-F48),"-",G48-F48)</f>
        <v>0</v>
      </c>
      <c r="I48" s="94"/>
      <c r="J48" s="84">
        <f t="shared" ref="J48:J76" si="8">J18</f>
        <v>0</v>
      </c>
      <c r="K48" s="133">
        <v>2014</v>
      </c>
      <c r="L48" s="94"/>
    </row>
    <row r="49" spans="1:13">
      <c r="A49" s="94"/>
      <c r="B49" s="146"/>
      <c r="C49" s="146"/>
      <c r="D49" s="146"/>
      <c r="E49" s="94" t="s">
        <v>72</v>
      </c>
      <c r="F49" s="96">
        <f t="shared" ref="F49:F61" si="9">F48</f>
        <v>2.2273486005089054</v>
      </c>
      <c r="G49" s="97">
        <f>(1-J49)*F49+J49*eSluzby!N$5</f>
        <v>1.1136743002544527</v>
      </c>
      <c r="H49" s="98">
        <f t="shared" si="7"/>
        <v>-1.1136743002544527</v>
      </c>
      <c r="I49" s="94"/>
      <c r="J49" s="84">
        <f>J19</f>
        <v>0.5</v>
      </c>
      <c r="K49" s="133">
        <v>2015</v>
      </c>
      <c r="L49" s="94"/>
    </row>
    <row r="50" spans="1:13">
      <c r="A50" s="94"/>
      <c r="B50" s="146"/>
      <c r="C50" s="146"/>
      <c r="D50" s="146"/>
      <c r="E50" s="94" t="s">
        <v>73</v>
      </c>
      <c r="F50" s="96">
        <f t="shared" si="9"/>
        <v>2.2273486005089054</v>
      </c>
      <c r="G50" s="97">
        <f>(1-J50)*F50+J50*eSluzby!N$5</f>
        <v>0.89093944020356219</v>
      </c>
      <c r="H50" s="98">
        <f t="shared" si="7"/>
        <v>-1.3364091603053432</v>
      </c>
      <c r="I50" s="94"/>
      <c r="J50" s="84">
        <f t="shared" ref="J50:J53" si="10">J20</f>
        <v>0.6</v>
      </c>
      <c r="K50" s="133">
        <v>2016</v>
      </c>
      <c r="L50" s="94"/>
    </row>
    <row r="51" spans="1:13">
      <c r="A51" s="94"/>
      <c r="B51" s="146"/>
      <c r="C51" s="146"/>
      <c r="D51" s="146"/>
      <c r="E51" s="94" t="s">
        <v>74</v>
      </c>
      <c r="F51" s="96">
        <f t="shared" si="9"/>
        <v>2.2273486005089054</v>
      </c>
      <c r="G51" s="97">
        <f>(1-J51)*F51+J51*eSluzby!N$5</f>
        <v>0.6682045801526717</v>
      </c>
      <c r="H51" s="98">
        <f t="shared" si="7"/>
        <v>-1.5591440203562337</v>
      </c>
      <c r="I51" s="94"/>
      <c r="J51" s="84">
        <f t="shared" si="10"/>
        <v>0.7</v>
      </c>
      <c r="K51" s="133">
        <v>2017</v>
      </c>
      <c r="L51" s="94"/>
    </row>
    <row r="52" spans="1:13">
      <c r="A52" s="94"/>
      <c r="B52" s="146"/>
      <c r="C52" s="146"/>
      <c r="D52" s="146"/>
      <c r="E52" s="94" t="s">
        <v>75</v>
      </c>
      <c r="F52" s="96">
        <f t="shared" si="9"/>
        <v>2.2273486005089054</v>
      </c>
      <c r="G52" s="97">
        <f>(1-J52)*F52+J52*eSluzby!N$5</f>
        <v>0.44546972010178099</v>
      </c>
      <c r="H52" s="98">
        <f t="shared" si="7"/>
        <v>-1.7818788804071244</v>
      </c>
      <c r="I52" s="94"/>
      <c r="J52" s="84">
        <f t="shared" si="10"/>
        <v>0.8</v>
      </c>
      <c r="K52" s="133">
        <v>2018</v>
      </c>
      <c r="L52" s="94"/>
    </row>
    <row r="53" spans="1:13">
      <c r="A53" s="94"/>
      <c r="B53" s="146"/>
      <c r="C53" s="146"/>
      <c r="D53" s="146"/>
      <c r="E53" s="94" t="s">
        <v>76</v>
      </c>
      <c r="F53" s="96">
        <f t="shared" si="9"/>
        <v>2.2273486005089054</v>
      </c>
      <c r="G53" s="97">
        <f>(1-J53)*F53+J53*eSluzby!N$5</f>
        <v>0.22273486005089049</v>
      </c>
      <c r="H53" s="98">
        <f t="shared" si="7"/>
        <v>-2.0046137404580149</v>
      </c>
      <c r="I53" s="94"/>
      <c r="J53" s="84">
        <f t="shared" si="10"/>
        <v>0.9</v>
      </c>
      <c r="K53" s="133">
        <v>2019</v>
      </c>
      <c r="L53" s="134">
        <f>Konštanty!E18*Konštanty!E19*Konštanty!E4*'Vstupy CBA'!G7*'Vstupy CBA'!J53</f>
        <v>892439.0064397424</v>
      </c>
      <c r="M53" t="s">
        <v>127</v>
      </c>
    </row>
    <row r="54" spans="1:13">
      <c r="A54" s="94"/>
      <c r="B54" s="146"/>
      <c r="C54" s="146"/>
      <c r="D54" s="146"/>
      <c r="E54" s="94" t="s">
        <v>77</v>
      </c>
      <c r="F54" s="96">
        <f t="shared" si="9"/>
        <v>2.2273486005089054</v>
      </c>
      <c r="G54" s="97">
        <f>(1-J54)*F54+J54*eSluzby!N$5</f>
        <v>0</v>
      </c>
      <c r="H54" s="98">
        <f t="shared" si="7"/>
        <v>-2.2273486005089054</v>
      </c>
      <c r="I54" s="94"/>
      <c r="J54" s="84">
        <f t="shared" si="8"/>
        <v>1</v>
      </c>
      <c r="K54" s="94"/>
      <c r="L54" s="94"/>
    </row>
    <row r="55" spans="1:13">
      <c r="A55" s="94"/>
      <c r="B55" s="146"/>
      <c r="C55" s="146"/>
      <c r="D55" s="146"/>
      <c r="E55" s="94" t="s">
        <v>78</v>
      </c>
      <c r="F55" s="96">
        <f t="shared" si="9"/>
        <v>2.2273486005089054</v>
      </c>
      <c r="G55" s="97">
        <f>(1-J55)*F55+J55*eSluzby!N$5</f>
        <v>0</v>
      </c>
      <c r="H55" s="98">
        <f t="shared" si="7"/>
        <v>-2.2273486005089054</v>
      </c>
      <c r="I55" s="94"/>
      <c r="J55" s="84">
        <f t="shared" si="8"/>
        <v>1</v>
      </c>
      <c r="K55" s="94"/>
      <c r="L55" s="94"/>
    </row>
    <row r="56" spans="1:13">
      <c r="A56" s="94"/>
      <c r="B56" s="146"/>
      <c r="C56" s="146"/>
      <c r="D56" s="146"/>
      <c r="E56" s="94" t="s">
        <v>79</v>
      </c>
      <c r="F56" s="96">
        <f t="shared" si="9"/>
        <v>2.2273486005089054</v>
      </c>
      <c r="G56" s="97">
        <f>(1-J56)*F56+J56*eSluzby!N$5</f>
        <v>0</v>
      </c>
      <c r="H56" s="98">
        <f t="shared" si="7"/>
        <v>-2.2273486005089054</v>
      </c>
      <c r="I56" s="94"/>
      <c r="J56" s="84">
        <f t="shared" si="8"/>
        <v>1</v>
      </c>
      <c r="K56" s="94"/>
      <c r="L56" s="94"/>
    </row>
    <row r="57" spans="1:13">
      <c r="A57" s="94"/>
      <c r="B57" s="146"/>
      <c r="C57" s="146"/>
      <c r="D57" s="146"/>
      <c r="E57" s="94" t="s">
        <v>80</v>
      </c>
      <c r="F57" s="96">
        <f t="shared" si="9"/>
        <v>2.2273486005089054</v>
      </c>
      <c r="G57" s="97">
        <f>(1-J57)*F57+J57*eSluzby!N$5</f>
        <v>0</v>
      </c>
      <c r="H57" s="98">
        <f t="shared" si="7"/>
        <v>-2.2273486005089054</v>
      </c>
      <c r="I57" s="94"/>
      <c r="J57" s="84">
        <f t="shared" si="8"/>
        <v>1</v>
      </c>
      <c r="K57" s="94"/>
      <c r="L57" s="94"/>
    </row>
    <row r="58" spans="1:13">
      <c r="A58" s="94"/>
      <c r="B58" s="146"/>
      <c r="C58" s="146"/>
      <c r="D58" s="146"/>
      <c r="E58" s="94" t="s">
        <v>81</v>
      </c>
      <c r="F58" s="96">
        <f t="shared" si="9"/>
        <v>2.2273486005089054</v>
      </c>
      <c r="G58" s="97">
        <f>(1-J58)*F58+J58*eSluzby!N$5</f>
        <v>0</v>
      </c>
      <c r="H58" s="98">
        <f t="shared" si="7"/>
        <v>-2.2273486005089054</v>
      </c>
      <c r="I58" s="94"/>
      <c r="J58" s="84">
        <f t="shared" si="8"/>
        <v>1</v>
      </c>
      <c r="K58" s="94"/>
      <c r="L58" s="94"/>
    </row>
    <row r="59" spans="1:13">
      <c r="A59" s="94"/>
      <c r="B59" s="146"/>
      <c r="C59" s="146"/>
      <c r="D59" s="146"/>
      <c r="E59" s="94" t="s">
        <v>82</v>
      </c>
      <c r="F59" s="96">
        <f t="shared" si="9"/>
        <v>2.2273486005089054</v>
      </c>
      <c r="G59" s="97">
        <f>(1-J59)*F59+J59*eSluzby!N$5</f>
        <v>0</v>
      </c>
      <c r="H59" s="98">
        <f t="shared" si="7"/>
        <v>-2.2273486005089054</v>
      </c>
      <c r="I59" s="94"/>
      <c r="J59" s="84">
        <f t="shared" si="8"/>
        <v>1</v>
      </c>
      <c r="K59" s="94"/>
      <c r="L59" s="94"/>
    </row>
    <row r="60" spans="1:13">
      <c r="A60" s="94"/>
      <c r="B60" s="146"/>
      <c r="C60" s="146"/>
      <c r="D60" s="146"/>
      <c r="E60" s="94" t="s">
        <v>83</v>
      </c>
      <c r="F60" s="96">
        <f t="shared" si="9"/>
        <v>2.2273486005089054</v>
      </c>
      <c r="G60" s="97">
        <f>(1-J60)*F60+J60*eSluzby!N$5</f>
        <v>0</v>
      </c>
      <c r="H60" s="98">
        <f t="shared" si="7"/>
        <v>-2.2273486005089054</v>
      </c>
      <c r="I60" s="94"/>
      <c r="J60" s="84">
        <f t="shared" si="8"/>
        <v>1</v>
      </c>
      <c r="K60" s="94"/>
      <c r="L60" s="94"/>
    </row>
    <row r="61" spans="1:13">
      <c r="A61" s="85"/>
      <c r="B61" s="150"/>
      <c r="C61" s="150"/>
      <c r="D61" s="150"/>
      <c r="E61" s="85" t="s">
        <v>84</v>
      </c>
      <c r="F61" s="100">
        <f t="shared" si="9"/>
        <v>2.2273486005089054</v>
      </c>
      <c r="G61" s="97">
        <f>(1-J61)*F61+J61*eSluzby!N$5</f>
        <v>0</v>
      </c>
      <c r="H61" s="99">
        <f t="shared" si="7"/>
        <v>-2.2273486005089054</v>
      </c>
      <c r="I61" s="85"/>
      <c r="J61" s="87">
        <f t="shared" si="8"/>
        <v>1</v>
      </c>
      <c r="K61" s="85"/>
      <c r="L61" s="85"/>
    </row>
    <row r="62" spans="1:13">
      <c r="A62" s="88"/>
      <c r="B62" s="149" t="s">
        <v>109</v>
      </c>
      <c r="C62" s="149"/>
      <c r="D62" s="149" t="s">
        <v>92</v>
      </c>
      <c r="E62" s="89" t="s">
        <v>70</v>
      </c>
      <c r="F62" s="90">
        <v>0</v>
      </c>
      <c r="G62" s="91">
        <f>F62</f>
        <v>0</v>
      </c>
      <c r="H62" s="92">
        <f>IF(ISERR(G62-F62),"-",G62-F62)</f>
        <v>0</v>
      </c>
      <c r="I62" s="88"/>
      <c r="J62" s="93">
        <f>J32</f>
        <v>0</v>
      </c>
      <c r="K62" s="88"/>
      <c r="L62" s="88"/>
    </row>
    <row r="63" spans="1:13">
      <c r="A63" s="94"/>
      <c r="B63" s="146"/>
      <c r="C63" s="146"/>
      <c r="D63" s="146"/>
      <c r="E63" s="95" t="s">
        <v>71</v>
      </c>
      <c r="F63" s="96">
        <f>F62</f>
        <v>0</v>
      </c>
      <c r="G63" s="97">
        <f>F63</f>
        <v>0</v>
      </c>
      <c r="H63" s="98">
        <f t="shared" ref="H63:H76" si="11">IF(ISERR(G63-F63),"-",G63-F63)</f>
        <v>0</v>
      </c>
      <c r="I63" s="94"/>
      <c r="J63" s="84">
        <f t="shared" si="8"/>
        <v>0</v>
      </c>
      <c r="K63" s="94"/>
      <c r="L63" s="94"/>
    </row>
    <row r="64" spans="1:13">
      <c r="A64" s="94"/>
      <c r="B64" s="146"/>
      <c r="C64" s="146"/>
      <c r="D64" s="146"/>
      <c r="E64" s="94" t="s">
        <v>72</v>
      </c>
      <c r="F64" s="96">
        <f t="shared" ref="F64:F76" si="12">F63</f>
        <v>0</v>
      </c>
      <c r="G64" s="101">
        <f>eSluzby!P$5*J64</f>
        <v>0</v>
      </c>
      <c r="H64" s="98">
        <f t="shared" si="11"/>
        <v>0</v>
      </c>
      <c r="I64" s="94"/>
      <c r="J64" s="84">
        <f t="shared" si="8"/>
        <v>0.5</v>
      </c>
      <c r="K64" s="94"/>
      <c r="L64" s="94"/>
    </row>
    <row r="65" spans="1:12">
      <c r="A65" s="94"/>
      <c r="B65" s="146"/>
      <c r="C65" s="146"/>
      <c r="D65" s="146"/>
      <c r="E65" s="94" t="s">
        <v>73</v>
      </c>
      <c r="F65" s="96">
        <f t="shared" si="12"/>
        <v>0</v>
      </c>
      <c r="G65" s="101">
        <f>eSluzby!P$5*J65</f>
        <v>0</v>
      </c>
      <c r="H65" s="98">
        <f t="shared" si="11"/>
        <v>0</v>
      </c>
      <c r="I65" s="94"/>
      <c r="J65" s="84">
        <f t="shared" si="8"/>
        <v>0.6</v>
      </c>
      <c r="K65" s="94"/>
      <c r="L65" s="94"/>
    </row>
    <row r="66" spans="1:12">
      <c r="A66" s="94"/>
      <c r="B66" s="146"/>
      <c r="C66" s="146"/>
      <c r="D66" s="146"/>
      <c r="E66" s="94" t="s">
        <v>74</v>
      </c>
      <c r="F66" s="96">
        <f t="shared" si="12"/>
        <v>0</v>
      </c>
      <c r="G66" s="101">
        <f>eSluzby!P$5*J66</f>
        <v>0</v>
      </c>
      <c r="H66" s="98">
        <f t="shared" si="11"/>
        <v>0</v>
      </c>
      <c r="I66" s="94"/>
      <c r="J66" s="84">
        <f t="shared" si="8"/>
        <v>0.7</v>
      </c>
      <c r="K66" s="94"/>
      <c r="L66" s="94"/>
    </row>
    <row r="67" spans="1:12">
      <c r="A67" s="94"/>
      <c r="B67" s="146"/>
      <c r="C67" s="146"/>
      <c r="D67" s="146"/>
      <c r="E67" s="94" t="s">
        <v>75</v>
      </c>
      <c r="F67" s="96">
        <f t="shared" si="12"/>
        <v>0</v>
      </c>
      <c r="G67" s="101">
        <f>eSluzby!P$5*J67</f>
        <v>0</v>
      </c>
      <c r="H67" s="98">
        <f t="shared" si="11"/>
        <v>0</v>
      </c>
      <c r="I67" s="94"/>
      <c r="J67" s="84">
        <f t="shared" si="8"/>
        <v>0.8</v>
      </c>
      <c r="K67" s="94"/>
      <c r="L67" s="94"/>
    </row>
    <row r="68" spans="1:12">
      <c r="A68" s="94"/>
      <c r="B68" s="146"/>
      <c r="C68" s="146"/>
      <c r="D68" s="146"/>
      <c r="E68" s="94" t="s">
        <v>76</v>
      </c>
      <c r="F68" s="96">
        <f t="shared" si="12"/>
        <v>0</v>
      </c>
      <c r="G68" s="101">
        <f>eSluzby!P$5*J68</f>
        <v>0</v>
      </c>
      <c r="H68" s="98">
        <f t="shared" si="11"/>
        <v>0</v>
      </c>
      <c r="I68" s="94"/>
      <c r="J68" s="84">
        <f t="shared" si="8"/>
        <v>0.9</v>
      </c>
      <c r="K68" s="94"/>
      <c r="L68" s="94"/>
    </row>
    <row r="69" spans="1:12">
      <c r="A69" s="94"/>
      <c r="B69" s="146"/>
      <c r="C69" s="146"/>
      <c r="D69" s="146"/>
      <c r="E69" s="94" t="s">
        <v>77</v>
      </c>
      <c r="F69" s="96">
        <f t="shared" si="12"/>
        <v>0</v>
      </c>
      <c r="G69" s="101">
        <f>eSluzby!P$5*J69</f>
        <v>0</v>
      </c>
      <c r="H69" s="98">
        <f t="shared" si="11"/>
        <v>0</v>
      </c>
      <c r="I69" s="94"/>
      <c r="J69" s="84">
        <f t="shared" si="8"/>
        <v>1</v>
      </c>
      <c r="K69" s="94"/>
      <c r="L69" s="94"/>
    </row>
    <row r="70" spans="1:12">
      <c r="A70" s="94"/>
      <c r="B70" s="146"/>
      <c r="C70" s="146"/>
      <c r="D70" s="146"/>
      <c r="E70" s="94" t="s">
        <v>78</v>
      </c>
      <c r="F70" s="96">
        <f t="shared" si="12"/>
        <v>0</v>
      </c>
      <c r="G70" s="101">
        <f>eSluzby!P$5*J70</f>
        <v>0</v>
      </c>
      <c r="H70" s="98">
        <f t="shared" si="11"/>
        <v>0</v>
      </c>
      <c r="I70" s="94"/>
      <c r="J70" s="84">
        <f t="shared" si="8"/>
        <v>1</v>
      </c>
      <c r="K70" s="94"/>
      <c r="L70" s="94"/>
    </row>
    <row r="71" spans="1:12">
      <c r="A71" s="94"/>
      <c r="B71" s="146"/>
      <c r="C71" s="146"/>
      <c r="D71" s="146"/>
      <c r="E71" s="94" t="s">
        <v>79</v>
      </c>
      <c r="F71" s="96">
        <f t="shared" si="12"/>
        <v>0</v>
      </c>
      <c r="G71" s="101">
        <f>eSluzby!P$5*J71</f>
        <v>0</v>
      </c>
      <c r="H71" s="98">
        <f t="shared" si="11"/>
        <v>0</v>
      </c>
      <c r="I71" s="94"/>
      <c r="J71" s="84">
        <f t="shared" si="8"/>
        <v>1</v>
      </c>
      <c r="K71" s="94"/>
      <c r="L71" s="94"/>
    </row>
    <row r="72" spans="1:12">
      <c r="A72" s="94"/>
      <c r="B72" s="146"/>
      <c r="C72" s="146"/>
      <c r="D72" s="146"/>
      <c r="E72" s="94" t="s">
        <v>80</v>
      </c>
      <c r="F72" s="96">
        <f t="shared" si="12"/>
        <v>0</v>
      </c>
      <c r="G72" s="101">
        <f>eSluzby!P$5*J72</f>
        <v>0</v>
      </c>
      <c r="H72" s="98">
        <f t="shared" si="11"/>
        <v>0</v>
      </c>
      <c r="I72" s="94"/>
      <c r="J72" s="84">
        <f t="shared" si="8"/>
        <v>1</v>
      </c>
      <c r="K72" s="94"/>
      <c r="L72" s="94"/>
    </row>
    <row r="73" spans="1:12">
      <c r="A73" s="94"/>
      <c r="B73" s="146"/>
      <c r="C73" s="146"/>
      <c r="D73" s="146"/>
      <c r="E73" s="94" t="s">
        <v>81</v>
      </c>
      <c r="F73" s="96">
        <f t="shared" si="12"/>
        <v>0</v>
      </c>
      <c r="G73" s="101">
        <f>eSluzby!P$5*J73</f>
        <v>0</v>
      </c>
      <c r="H73" s="98">
        <f t="shared" si="11"/>
        <v>0</v>
      </c>
      <c r="I73" s="94"/>
      <c r="J73" s="84">
        <f t="shared" si="8"/>
        <v>1</v>
      </c>
      <c r="K73" s="94"/>
      <c r="L73" s="94"/>
    </row>
    <row r="74" spans="1:12">
      <c r="A74" s="94"/>
      <c r="B74" s="146"/>
      <c r="C74" s="146"/>
      <c r="D74" s="146"/>
      <c r="E74" s="94" t="s">
        <v>82</v>
      </c>
      <c r="F74" s="96">
        <f t="shared" si="12"/>
        <v>0</v>
      </c>
      <c r="G74" s="101">
        <f>eSluzby!P$5*J74</f>
        <v>0</v>
      </c>
      <c r="H74" s="98">
        <f t="shared" si="11"/>
        <v>0</v>
      </c>
      <c r="I74" s="94"/>
      <c r="J74" s="84">
        <f t="shared" si="8"/>
        <v>1</v>
      </c>
      <c r="K74" s="94"/>
      <c r="L74" s="94"/>
    </row>
    <row r="75" spans="1:12">
      <c r="A75" s="94"/>
      <c r="B75" s="146"/>
      <c r="C75" s="146"/>
      <c r="D75" s="146"/>
      <c r="E75" s="94" t="s">
        <v>83</v>
      </c>
      <c r="F75" s="96">
        <f t="shared" si="12"/>
        <v>0</v>
      </c>
      <c r="G75" s="101">
        <f>eSluzby!P$5*J75</f>
        <v>0</v>
      </c>
      <c r="H75" s="98">
        <f t="shared" si="11"/>
        <v>0</v>
      </c>
      <c r="I75" s="94"/>
      <c r="J75" s="84">
        <f t="shared" si="8"/>
        <v>1</v>
      </c>
      <c r="K75" s="94"/>
      <c r="L75" s="94"/>
    </row>
    <row r="76" spans="1:12">
      <c r="A76" s="85"/>
      <c r="B76" s="150"/>
      <c r="C76" s="150"/>
      <c r="D76" s="150"/>
      <c r="E76" s="85" t="s">
        <v>84</v>
      </c>
      <c r="F76" s="100">
        <f t="shared" si="12"/>
        <v>0</v>
      </c>
      <c r="G76" s="131">
        <f>eSluzby!P$5*J76</f>
        <v>0</v>
      </c>
      <c r="H76" s="99">
        <f t="shared" si="11"/>
        <v>0</v>
      </c>
      <c r="I76" s="85"/>
      <c r="J76" s="87">
        <f t="shared" si="8"/>
        <v>1</v>
      </c>
      <c r="K76" s="85"/>
      <c r="L76" s="85"/>
    </row>
    <row r="77" spans="1:12">
      <c r="A77" s="71"/>
      <c r="B77" s="149" t="s">
        <v>93</v>
      </c>
      <c r="C77" s="151" t="s">
        <v>94</v>
      </c>
      <c r="D77" s="152" t="s">
        <v>87</v>
      </c>
      <c r="E77" s="80" t="s">
        <v>70</v>
      </c>
      <c r="F77" s="81">
        <f>eSluzby!Q5</f>
        <v>0</v>
      </c>
      <c r="G77" s="3">
        <f>(1-J77)*F77+J77*eSluzby!R$5</f>
        <v>0</v>
      </c>
      <c r="H77" s="82">
        <f>G77-F77</f>
        <v>0</v>
      </c>
      <c r="I77" s="71"/>
      <c r="J77" s="84">
        <f>J17</f>
        <v>0</v>
      </c>
      <c r="K77" s="71"/>
      <c r="L77" s="71"/>
    </row>
    <row r="78" spans="1:12">
      <c r="A78" s="71"/>
      <c r="B78" s="146"/>
      <c r="C78" s="146"/>
      <c r="D78" s="152"/>
      <c r="E78" s="80" t="s">
        <v>71</v>
      </c>
      <c r="F78" s="81">
        <f>F77</f>
        <v>0</v>
      </c>
      <c r="G78" s="3">
        <f>(1-J78)*F78+J78*eSluzby!R$5</f>
        <v>0</v>
      </c>
      <c r="H78" s="82">
        <f t="shared" ref="H78:H91" si="13">G78-F78</f>
        <v>0</v>
      </c>
      <c r="I78" s="71"/>
      <c r="J78" s="84">
        <f t="shared" ref="J78:J91" si="14">J18</f>
        <v>0</v>
      </c>
      <c r="K78" s="71"/>
      <c r="L78" s="71"/>
    </row>
    <row r="79" spans="1:12">
      <c r="A79" s="71"/>
      <c r="B79" s="146"/>
      <c r="C79" s="146"/>
      <c r="D79" s="152"/>
      <c r="E79" s="71" t="s">
        <v>72</v>
      </c>
      <c r="F79" s="81">
        <f t="shared" ref="F79:F91" si="15">F78</f>
        <v>0</v>
      </c>
      <c r="G79" s="3">
        <f>(1-J79)*F79+J79*eSluzby!R$5</f>
        <v>0</v>
      </c>
      <c r="H79" s="82">
        <f t="shared" si="13"/>
        <v>0</v>
      </c>
      <c r="I79" s="71"/>
      <c r="J79" s="84">
        <f t="shared" si="14"/>
        <v>0.5</v>
      </c>
      <c r="K79" s="71"/>
      <c r="L79" s="71"/>
    </row>
    <row r="80" spans="1:12">
      <c r="A80" s="71"/>
      <c r="B80" s="146"/>
      <c r="C80" s="146"/>
      <c r="D80" s="152"/>
      <c r="E80" s="71" t="s">
        <v>73</v>
      </c>
      <c r="F80" s="81">
        <f t="shared" si="15"/>
        <v>0</v>
      </c>
      <c r="G80" s="3">
        <f>(1-J80)*F80+J80*eSluzby!R$5</f>
        <v>0</v>
      </c>
      <c r="H80" s="82">
        <f t="shared" si="13"/>
        <v>0</v>
      </c>
      <c r="I80" s="71"/>
      <c r="J80" s="84">
        <f t="shared" si="14"/>
        <v>0.6</v>
      </c>
      <c r="K80" s="71"/>
      <c r="L80" s="71"/>
    </row>
    <row r="81" spans="1:12">
      <c r="A81" s="71"/>
      <c r="B81" s="146"/>
      <c r="C81" s="146"/>
      <c r="D81" s="152"/>
      <c r="E81" s="71" t="s">
        <v>74</v>
      </c>
      <c r="F81" s="81">
        <f t="shared" si="15"/>
        <v>0</v>
      </c>
      <c r="G81" s="3">
        <f>(1-J81)*F81+J81*eSluzby!R$5</f>
        <v>0</v>
      </c>
      <c r="H81" s="82">
        <f t="shared" si="13"/>
        <v>0</v>
      </c>
      <c r="I81" s="71"/>
      <c r="J81" s="84">
        <f t="shared" si="14"/>
        <v>0.7</v>
      </c>
      <c r="K81" s="71"/>
      <c r="L81" s="71"/>
    </row>
    <row r="82" spans="1:12">
      <c r="A82" s="71"/>
      <c r="B82" s="146"/>
      <c r="C82" s="146"/>
      <c r="D82" s="152"/>
      <c r="E82" s="71" t="s">
        <v>75</v>
      </c>
      <c r="F82" s="81">
        <f t="shared" si="15"/>
        <v>0</v>
      </c>
      <c r="G82" s="3">
        <f>(1-J82)*F82+J82*eSluzby!R$5</f>
        <v>0</v>
      </c>
      <c r="H82" s="82">
        <f t="shared" si="13"/>
        <v>0</v>
      </c>
      <c r="I82" s="71"/>
      <c r="J82" s="84">
        <f t="shared" si="14"/>
        <v>0.8</v>
      </c>
      <c r="K82" s="71"/>
      <c r="L82" s="71"/>
    </row>
    <row r="83" spans="1:12">
      <c r="A83" s="71"/>
      <c r="B83" s="146"/>
      <c r="C83" s="146"/>
      <c r="D83" s="152"/>
      <c r="E83" s="71" t="s">
        <v>76</v>
      </c>
      <c r="F83" s="81">
        <f t="shared" si="15"/>
        <v>0</v>
      </c>
      <c r="G83" s="3">
        <f>(1-J83)*F83+J83*eSluzby!R$5</f>
        <v>0</v>
      </c>
      <c r="H83" s="82">
        <f t="shared" si="13"/>
        <v>0</v>
      </c>
      <c r="I83" s="71"/>
      <c r="J83" s="84">
        <f t="shared" si="14"/>
        <v>0.9</v>
      </c>
      <c r="K83" s="71"/>
      <c r="L83" s="71"/>
    </row>
    <row r="84" spans="1:12">
      <c r="A84" s="71"/>
      <c r="B84" s="146"/>
      <c r="C84" s="146"/>
      <c r="D84" s="152"/>
      <c r="E84" s="71" t="s">
        <v>77</v>
      </c>
      <c r="F84" s="81">
        <f t="shared" si="15"/>
        <v>0</v>
      </c>
      <c r="G84" s="3">
        <f>(1-J84)*F84+J84*eSluzby!R$5</f>
        <v>0</v>
      </c>
      <c r="H84" s="82">
        <f t="shared" si="13"/>
        <v>0</v>
      </c>
      <c r="I84" s="71"/>
      <c r="J84" s="84">
        <f t="shared" si="14"/>
        <v>1</v>
      </c>
      <c r="K84" s="71"/>
      <c r="L84" s="71"/>
    </row>
    <row r="85" spans="1:12">
      <c r="A85" s="71"/>
      <c r="B85" s="146"/>
      <c r="C85" s="146"/>
      <c r="D85" s="152"/>
      <c r="E85" s="71" t="s">
        <v>78</v>
      </c>
      <c r="F85" s="81">
        <f t="shared" si="15"/>
        <v>0</v>
      </c>
      <c r="G85" s="3">
        <f>(1-J85)*F85+J85*eSluzby!R$5</f>
        <v>0</v>
      </c>
      <c r="H85" s="82">
        <f t="shared" si="13"/>
        <v>0</v>
      </c>
      <c r="I85" s="71"/>
      <c r="J85" s="84">
        <f t="shared" si="14"/>
        <v>1</v>
      </c>
      <c r="K85" s="71"/>
      <c r="L85" s="71"/>
    </row>
    <row r="86" spans="1:12">
      <c r="A86" s="71"/>
      <c r="B86" s="146"/>
      <c r="C86" s="146"/>
      <c r="D86" s="152"/>
      <c r="E86" s="71" t="s">
        <v>79</v>
      </c>
      <c r="F86" s="81">
        <f t="shared" si="15"/>
        <v>0</v>
      </c>
      <c r="G86" s="3">
        <f>(1-J86)*F86+J86*eSluzby!R$5</f>
        <v>0</v>
      </c>
      <c r="H86" s="82">
        <f t="shared" si="13"/>
        <v>0</v>
      </c>
      <c r="I86" s="71"/>
      <c r="J86" s="84">
        <f t="shared" si="14"/>
        <v>1</v>
      </c>
      <c r="K86" s="71"/>
      <c r="L86" s="71"/>
    </row>
    <row r="87" spans="1:12">
      <c r="A87" s="71"/>
      <c r="B87" s="146"/>
      <c r="C87" s="146"/>
      <c r="D87" s="152"/>
      <c r="E87" s="71" t="s">
        <v>80</v>
      </c>
      <c r="F87" s="81">
        <f t="shared" si="15"/>
        <v>0</v>
      </c>
      <c r="G87" s="3">
        <f>(1-J87)*F87+J87*eSluzby!R$5</f>
        <v>0</v>
      </c>
      <c r="H87" s="82">
        <f t="shared" si="13"/>
        <v>0</v>
      </c>
      <c r="I87" s="71"/>
      <c r="J87" s="84">
        <f t="shared" si="14"/>
        <v>1</v>
      </c>
      <c r="K87" s="71"/>
      <c r="L87" s="71"/>
    </row>
    <row r="88" spans="1:12">
      <c r="A88" s="71"/>
      <c r="B88" s="146"/>
      <c r="C88" s="146"/>
      <c r="D88" s="152"/>
      <c r="E88" s="71" t="s">
        <v>81</v>
      </c>
      <c r="F88" s="81">
        <f t="shared" si="15"/>
        <v>0</v>
      </c>
      <c r="G88" s="3">
        <f>(1-J88)*F88+J88*eSluzby!R$5</f>
        <v>0</v>
      </c>
      <c r="H88" s="82">
        <f t="shared" si="13"/>
        <v>0</v>
      </c>
      <c r="I88" s="71"/>
      <c r="J88" s="84">
        <f t="shared" si="14"/>
        <v>1</v>
      </c>
      <c r="K88" s="71"/>
      <c r="L88" s="71"/>
    </row>
    <row r="89" spans="1:12">
      <c r="A89" s="71"/>
      <c r="B89" s="146"/>
      <c r="C89" s="146"/>
      <c r="D89" s="152"/>
      <c r="E89" s="71" t="s">
        <v>82</v>
      </c>
      <c r="F89" s="81">
        <f t="shared" si="15"/>
        <v>0</v>
      </c>
      <c r="G89" s="3">
        <f>(1-J89)*F89+J89*eSluzby!R$5</f>
        <v>0</v>
      </c>
      <c r="H89" s="82">
        <f t="shared" si="13"/>
        <v>0</v>
      </c>
      <c r="I89" s="71"/>
      <c r="J89" s="84">
        <f t="shared" si="14"/>
        <v>1</v>
      </c>
      <c r="K89" s="71"/>
      <c r="L89" s="71"/>
    </row>
    <row r="90" spans="1:12">
      <c r="A90" s="71"/>
      <c r="B90" s="146"/>
      <c r="C90" s="146"/>
      <c r="D90" s="152"/>
      <c r="E90" s="71" t="s">
        <v>83</v>
      </c>
      <c r="F90" s="81">
        <f t="shared" si="15"/>
        <v>0</v>
      </c>
      <c r="G90" s="3">
        <f>(1-J90)*F90+J90*eSluzby!R$5</f>
        <v>0</v>
      </c>
      <c r="H90" s="82">
        <f t="shared" si="13"/>
        <v>0</v>
      </c>
      <c r="I90" s="71"/>
      <c r="J90" s="84">
        <f t="shared" si="14"/>
        <v>1</v>
      </c>
      <c r="K90" s="71"/>
      <c r="L90" s="71"/>
    </row>
    <row r="91" spans="1:12">
      <c r="A91" s="85"/>
      <c r="B91" s="150"/>
      <c r="C91" s="150"/>
      <c r="D91" s="150"/>
      <c r="E91" s="85" t="s">
        <v>84</v>
      </c>
      <c r="F91" s="102">
        <f t="shared" si="15"/>
        <v>0</v>
      </c>
      <c r="G91" s="103">
        <f>(1-J91)*F91+J91*eSluzby!R$5</f>
        <v>0</v>
      </c>
      <c r="H91" s="86">
        <f t="shared" si="13"/>
        <v>0</v>
      </c>
      <c r="I91" s="85"/>
      <c r="J91" s="87">
        <f t="shared" si="14"/>
        <v>1</v>
      </c>
      <c r="K91" s="85"/>
      <c r="L91" s="85"/>
    </row>
    <row r="92" spans="1:12">
      <c r="A92" s="71"/>
      <c r="B92" s="71"/>
      <c r="C92" s="71"/>
      <c r="D92" s="71"/>
      <c r="E92" s="71"/>
      <c r="F92" s="104"/>
      <c r="G92" s="94"/>
      <c r="H92" s="105"/>
      <c r="I92" s="71"/>
      <c r="J92" s="84"/>
      <c r="K92" s="71"/>
      <c r="L92" s="71"/>
    </row>
    <row r="93" spans="1:12">
      <c r="A93" s="71"/>
      <c r="B93" s="146"/>
      <c r="C93" s="71"/>
      <c r="D93" s="71"/>
      <c r="E93" s="117"/>
      <c r="F93" s="114"/>
      <c r="G93" s="111"/>
      <c r="H93" s="120"/>
      <c r="I93" s="71"/>
      <c r="J93" s="84"/>
      <c r="K93" s="71"/>
      <c r="L93" s="71"/>
    </row>
    <row r="94" spans="1:12">
      <c r="B94" s="147"/>
      <c r="E94" s="117"/>
      <c r="G94" s="111"/>
      <c r="H94" s="120"/>
      <c r="J94" s="84"/>
    </row>
    <row r="95" spans="1:12">
      <c r="B95" s="147"/>
      <c r="E95" s="118"/>
      <c r="G95" s="111"/>
      <c r="H95" s="120"/>
      <c r="J95" s="84"/>
    </row>
    <row r="96" spans="1:12">
      <c r="B96" s="147"/>
      <c r="E96" s="118"/>
      <c r="G96" s="111"/>
      <c r="H96" s="120"/>
      <c r="J96" s="84"/>
    </row>
    <row r="97" spans="1:12">
      <c r="B97" s="147"/>
      <c r="E97" s="118"/>
      <c r="G97" s="111"/>
      <c r="H97" s="120"/>
      <c r="J97" s="84"/>
    </row>
    <row r="98" spans="1:12">
      <c r="B98" s="147"/>
      <c r="E98" s="118"/>
      <c r="G98" s="111"/>
      <c r="H98" s="120"/>
      <c r="J98" s="84"/>
    </row>
    <row r="99" spans="1:12">
      <c r="B99" s="147"/>
      <c r="E99" s="118"/>
      <c r="G99" s="111"/>
      <c r="H99" s="120"/>
      <c r="J99" s="84"/>
    </row>
    <row r="100" spans="1:12">
      <c r="B100" s="147"/>
      <c r="E100" s="118"/>
      <c r="G100" s="111"/>
      <c r="H100" s="120"/>
      <c r="J100" s="84"/>
    </row>
    <row r="101" spans="1:12">
      <c r="B101" s="147"/>
      <c r="E101" s="118"/>
      <c r="G101" s="111"/>
      <c r="H101" s="120"/>
      <c r="J101" s="84"/>
    </row>
    <row r="102" spans="1:12">
      <c r="B102" s="147"/>
      <c r="E102" s="118"/>
      <c r="G102" s="111"/>
      <c r="H102" s="120"/>
      <c r="J102" s="84"/>
    </row>
    <row r="103" spans="1:12">
      <c r="B103" s="147"/>
      <c r="E103" s="118"/>
      <c r="G103" s="111"/>
      <c r="H103" s="120"/>
      <c r="J103" s="84"/>
    </row>
    <row r="104" spans="1:12">
      <c r="B104" s="147"/>
      <c r="E104" s="118"/>
      <c r="G104" s="111"/>
      <c r="H104" s="120"/>
      <c r="J104" s="84"/>
    </row>
    <row r="105" spans="1:12">
      <c r="B105" s="147"/>
      <c r="E105" s="118"/>
      <c r="G105" s="111"/>
      <c r="H105" s="120"/>
      <c r="J105" s="84"/>
    </row>
    <row r="106" spans="1:12">
      <c r="B106" s="147"/>
      <c r="E106" s="118"/>
      <c r="G106" s="111"/>
      <c r="H106" s="120"/>
      <c r="J106" s="84"/>
    </row>
    <row r="107" spans="1:12">
      <c r="A107" s="115"/>
      <c r="B107" s="148"/>
      <c r="C107" s="115"/>
      <c r="D107" s="115"/>
      <c r="E107" s="119"/>
      <c r="F107" s="115"/>
      <c r="G107" s="116"/>
      <c r="H107" s="121"/>
      <c r="I107" s="115"/>
      <c r="J107" s="87"/>
      <c r="K107" s="115"/>
      <c r="L107" s="115"/>
    </row>
    <row r="108" spans="1:12">
      <c r="E108" s="120"/>
      <c r="H108" s="120"/>
    </row>
  </sheetData>
  <mergeCells count="19">
    <mergeCell ref="B2:B16"/>
    <mergeCell ref="C2:C16"/>
    <mergeCell ref="D2:D16"/>
    <mergeCell ref="B17:B31"/>
    <mergeCell ref="C17:C31"/>
    <mergeCell ref="D17:D31"/>
    <mergeCell ref="B32:B46"/>
    <mergeCell ref="C32:C46"/>
    <mergeCell ref="D32:D46"/>
    <mergeCell ref="B47:B61"/>
    <mergeCell ref="C47:C61"/>
    <mergeCell ref="D47:D61"/>
    <mergeCell ref="B93:B107"/>
    <mergeCell ref="B62:B76"/>
    <mergeCell ref="C62:C76"/>
    <mergeCell ref="D62:D76"/>
    <mergeCell ref="B77:B91"/>
    <mergeCell ref="C77:C91"/>
    <mergeCell ref="D77:D91"/>
  </mergeCells>
  <pageMargins left="0.7" right="0.41" top="0.75" bottom="0.75" header="0.3" footer="0.3"/>
  <pageSetup paperSize="9" scale="47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4"/>
  <sheetViews>
    <sheetView tabSelected="1" zoomScale="125" zoomScaleNormal="125" zoomScalePageLayoutView="125" workbookViewId="0">
      <pane xSplit="2" topLeftCell="C1" activePane="topRight" state="frozen"/>
      <selection activeCell="Q22" sqref="Q22"/>
      <selection pane="topRight" activeCell="H10" sqref="H10"/>
    </sheetView>
  </sheetViews>
  <sheetFormatPr baseColWidth="10" defaultColWidth="8.83203125" defaultRowHeight="12" x14ac:dyDescent="0"/>
  <cols>
    <col min="1" max="1" width="2" style="6" customWidth="1"/>
    <col min="2" max="2" width="9.1640625" style="6" customWidth="1"/>
    <col min="3" max="3" width="13.5" style="6" bestFit="1" customWidth="1"/>
    <col min="4" max="4" width="14.5" style="6" bestFit="1" customWidth="1"/>
    <col min="5" max="5" width="14.33203125" style="6" bestFit="1" customWidth="1"/>
    <col min="6" max="7" width="13.5" style="6" bestFit="1" customWidth="1"/>
    <col min="8" max="8" width="14.33203125" style="6" bestFit="1" customWidth="1"/>
    <col min="9" max="9" width="9.83203125" style="6" bestFit="1" customWidth="1"/>
    <col min="10" max="10" width="14.33203125" style="6" customWidth="1"/>
    <col min="11" max="11" width="14.33203125" style="6" bestFit="1" customWidth="1"/>
    <col min="12" max="12" width="13.5" style="6" bestFit="1" customWidth="1"/>
    <col min="13" max="13" width="12.6640625" style="6" bestFit="1" customWidth="1"/>
    <col min="14" max="14" width="13.5" style="6" bestFit="1" customWidth="1"/>
    <col min="15" max="16" width="11.6640625" style="6" bestFit="1" customWidth="1"/>
    <col min="17" max="17" width="10.83203125" style="6" bestFit="1" customWidth="1"/>
    <col min="18" max="18" width="12.6640625" style="6" bestFit="1" customWidth="1"/>
    <col min="19" max="19" width="13.83203125" style="6" bestFit="1" customWidth="1"/>
    <col min="20" max="20" width="14.5" style="6" bestFit="1" customWidth="1"/>
    <col min="21" max="16384" width="8.83203125" style="6"/>
  </cols>
  <sheetData>
    <row r="1" spans="1:20">
      <c r="A1" s="4" t="s">
        <v>23</v>
      </c>
      <c r="B1" s="5"/>
      <c r="C1" s="153" t="s">
        <v>24</v>
      </c>
      <c r="D1" s="154"/>
      <c r="E1" s="154"/>
      <c r="F1" s="154"/>
      <c r="G1" s="154"/>
      <c r="H1" s="154"/>
      <c r="I1" s="154"/>
      <c r="J1" s="154"/>
      <c r="K1" s="155"/>
      <c r="L1" s="153" t="s">
        <v>25</v>
      </c>
      <c r="M1" s="154"/>
      <c r="N1" s="154"/>
      <c r="O1" s="154"/>
      <c r="P1" s="154"/>
      <c r="Q1" s="155"/>
      <c r="R1" s="156" t="s">
        <v>26</v>
      </c>
      <c r="S1" s="157"/>
      <c r="T1" s="158"/>
    </row>
    <row r="2" spans="1:20">
      <c r="A2" s="7"/>
      <c r="B2" s="8"/>
      <c r="C2" s="159" t="s">
        <v>27</v>
      </c>
      <c r="D2" s="160"/>
      <c r="E2" s="160"/>
      <c r="F2" s="160" t="s">
        <v>28</v>
      </c>
      <c r="G2" s="160"/>
      <c r="H2" s="160"/>
      <c r="I2" s="160" t="s">
        <v>29</v>
      </c>
      <c r="J2" s="160"/>
      <c r="K2" s="161"/>
      <c r="L2" s="159" t="s">
        <v>30</v>
      </c>
      <c r="M2" s="160"/>
      <c r="N2" s="160"/>
      <c r="O2" s="160" t="s">
        <v>31</v>
      </c>
      <c r="P2" s="160"/>
      <c r="Q2" s="161"/>
      <c r="R2" s="9"/>
      <c r="S2" s="10"/>
      <c r="T2" s="11"/>
    </row>
    <row r="3" spans="1:20">
      <c r="A3" s="7"/>
      <c r="B3" s="12" t="s">
        <v>32</v>
      </c>
      <c r="C3" s="13" t="s">
        <v>33</v>
      </c>
      <c r="D3" s="14" t="s">
        <v>34</v>
      </c>
      <c r="E3" s="15" t="s">
        <v>35</v>
      </c>
      <c r="F3" s="14" t="s">
        <v>33</v>
      </c>
      <c r="G3" s="14" t="s">
        <v>34</v>
      </c>
      <c r="H3" s="15" t="s">
        <v>35</v>
      </c>
      <c r="I3" s="14" t="s">
        <v>33</v>
      </c>
      <c r="J3" s="14" t="s">
        <v>34</v>
      </c>
      <c r="K3" s="16" t="s">
        <v>35</v>
      </c>
      <c r="L3" s="13" t="s">
        <v>33</v>
      </c>
      <c r="M3" s="14" t="s">
        <v>34</v>
      </c>
      <c r="N3" s="15" t="s">
        <v>35</v>
      </c>
      <c r="O3" s="14" t="s">
        <v>33</v>
      </c>
      <c r="P3" s="14" t="s">
        <v>34</v>
      </c>
      <c r="Q3" s="16" t="s">
        <v>35</v>
      </c>
      <c r="R3" s="17" t="s">
        <v>33</v>
      </c>
      <c r="S3" s="18" t="s">
        <v>34</v>
      </c>
      <c r="T3" s="19" t="s">
        <v>35</v>
      </c>
    </row>
    <row r="4" spans="1:20">
      <c r="A4" s="20"/>
      <c r="B4" s="6">
        <v>1</v>
      </c>
      <c r="C4" s="21">
        <v>0</v>
      </c>
      <c r="D4" s="22">
        <f>Konštanty!E9/2</f>
        <v>492000</v>
      </c>
      <c r="E4" s="23">
        <f>D4-C4</f>
        <v>492000</v>
      </c>
      <c r="F4" s="22">
        <v>0</v>
      </c>
      <c r="G4" s="22">
        <f>Konštanty!E10/2</f>
        <v>1072500</v>
      </c>
      <c r="H4" s="23">
        <f>G4-F4</f>
        <v>1072500</v>
      </c>
      <c r="I4" s="22">
        <f>Konštanty!E$13</f>
        <v>0</v>
      </c>
      <c r="J4" s="22">
        <f>Konštanty!E13+Konštanty!E11/2</f>
        <v>4435500</v>
      </c>
      <c r="K4" s="24">
        <f>J4-I4</f>
        <v>4435500</v>
      </c>
      <c r="L4" s="25">
        <f>Konštanty!E$6</f>
        <v>0</v>
      </c>
      <c r="M4" s="26">
        <f>L4</f>
        <v>0</v>
      </c>
      <c r="N4" s="23">
        <f>IF(ISERR(M4-L4),"-",M4-L4)</f>
        <v>0</v>
      </c>
      <c r="O4" s="27">
        <f>IF(ISERR(Konštanty!E$5*'Vstupy CBA'!F2*'Vstupy CBA'!F32),"-",Konštanty!E$5*'Vstupy CBA'!F2*'Vstupy CBA'!F32)</f>
        <v>1825025.2533333332</v>
      </c>
      <c r="P4" s="27">
        <f>IF(ISERR(Konštanty!E$5*'Vstupy CBA'!G2),"-",Konštanty!E$5*'Vstupy CBA'!G2*'Vstupy CBA'!G32)</f>
        <v>1825025.2533333332</v>
      </c>
      <c r="Q4" s="24">
        <f>IF(ISERR(P4-O4),"-",P4-O4)</f>
        <v>0</v>
      </c>
      <c r="R4" s="25">
        <f>SUM(C4,F4,I4,L4,O4)</f>
        <v>1825025.2533333332</v>
      </c>
      <c r="S4" s="27">
        <f>SUM(D4,G4,J4,M4,P4)</f>
        <v>7825025.2533333329</v>
      </c>
      <c r="T4" s="24">
        <f>S4-R4</f>
        <v>6000000</v>
      </c>
    </row>
    <row r="5" spans="1:20">
      <c r="A5" s="20"/>
      <c r="B5" s="6">
        <v>2</v>
      </c>
      <c r="C5" s="21">
        <v>0</v>
      </c>
      <c r="D5" s="22">
        <f>Konštanty!E9/2</f>
        <v>492000</v>
      </c>
      <c r="E5" s="23">
        <f t="shared" ref="E5:E18" si="0">D5-C5</f>
        <v>492000</v>
      </c>
      <c r="F5" s="22">
        <v>0</v>
      </c>
      <c r="G5" s="22">
        <f>Konštanty!E10/2</f>
        <v>1072500</v>
      </c>
      <c r="H5" s="23">
        <f t="shared" ref="H5:H18" si="1">G5-F5</f>
        <v>1072500</v>
      </c>
      <c r="I5" s="22">
        <f>Konštanty!E$13</f>
        <v>0</v>
      </c>
      <c r="J5" s="22">
        <f>Konštanty!E13+Konštanty!E11/2</f>
        <v>4435500</v>
      </c>
      <c r="K5" s="24">
        <f t="shared" ref="K5:K18" si="2">J5-I5</f>
        <v>4435500</v>
      </c>
      <c r="L5" s="25">
        <f>Konštanty!E$6</f>
        <v>0</v>
      </c>
      <c r="M5" s="26">
        <f>L5</f>
        <v>0</v>
      </c>
      <c r="N5" s="23">
        <f>IF(ISERR(M5-L5),"-",M5-L5)</f>
        <v>0</v>
      </c>
      <c r="O5" s="27">
        <f>IF(ISERR(Konštanty!E$5*'Vstupy CBA'!F3*'Vstupy CBA'!F33),"-",Konštanty!E$5*'Vstupy CBA'!F3*'Vstupy CBA'!F33)</f>
        <v>1825025.2533333332</v>
      </c>
      <c r="P5" s="27">
        <f>IF(ISERR(Konštanty!E$5*'Vstupy CBA'!G3),"-",Konštanty!E$5*'Vstupy CBA'!G3*'Vstupy CBA'!G33)</f>
        <v>1825025.2533333332</v>
      </c>
      <c r="Q5" s="24">
        <f>IF(ISERR(P5-O5),"-",P5-O5)</f>
        <v>0</v>
      </c>
      <c r="R5" s="25">
        <f t="shared" ref="R5:S18" si="3">SUM(C5,F5,I5,L5,O5)</f>
        <v>1825025.2533333332</v>
      </c>
      <c r="S5" s="27">
        <f t="shared" si="3"/>
        <v>7825025.2533333329</v>
      </c>
      <c r="T5" s="24">
        <f t="shared" ref="T5:T18" si="4">S5-R5</f>
        <v>6000000</v>
      </c>
    </row>
    <row r="6" spans="1:20">
      <c r="A6" s="20"/>
      <c r="B6" s="6">
        <v>3</v>
      </c>
      <c r="C6" s="21">
        <v>0</v>
      </c>
      <c r="D6" s="22">
        <v>0</v>
      </c>
      <c r="E6" s="23">
        <f t="shared" si="0"/>
        <v>0</v>
      </c>
      <c r="F6" s="22">
        <v>0</v>
      </c>
      <c r="G6" s="22">
        <v>0</v>
      </c>
      <c r="H6" s="23">
        <f t="shared" si="1"/>
        <v>0</v>
      </c>
      <c r="I6" s="22">
        <f>Konštanty!E$13</f>
        <v>0</v>
      </c>
      <c r="J6" s="22">
        <f>Konštanty!$E$12</f>
        <v>1440000</v>
      </c>
      <c r="K6" s="24">
        <f t="shared" si="2"/>
        <v>1440000</v>
      </c>
      <c r="L6" s="25">
        <f>Konštanty!E$6</f>
        <v>0</v>
      </c>
      <c r="M6" s="26">
        <f>Konštanty!E$7</f>
        <v>0</v>
      </c>
      <c r="N6" s="23">
        <f>IF(ISERR(M6-L6),"-",M6-L6)</f>
        <v>0</v>
      </c>
      <c r="O6" s="27">
        <f>IF(ISERR(Konštanty!E$5*'Vstupy CBA'!F4*'Vstupy CBA'!F34),"-",Konštanty!E$5*'Vstupy CBA'!F4*'Vstupy CBA'!F34)</f>
        <v>1825025.2533333332</v>
      </c>
      <c r="P6" s="27">
        <f>IF(ISERR(Konštanty!E$5*'Vstupy CBA'!G4),"-",Konštanty!E$5*'Vstupy CBA'!G4*'Vstupy CBA'!G34)</f>
        <v>912512.62666666659</v>
      </c>
      <c r="Q6" s="24">
        <f>IF(ISERR(P6-O6),"-",P6-O6)</f>
        <v>-912512.62666666659</v>
      </c>
      <c r="R6" s="25">
        <f t="shared" si="3"/>
        <v>1825025.2533333332</v>
      </c>
      <c r="S6" s="27">
        <f t="shared" si="3"/>
        <v>2352512.6266666665</v>
      </c>
      <c r="T6" s="24">
        <f t="shared" si="4"/>
        <v>527487.37333333329</v>
      </c>
    </row>
    <row r="7" spans="1:20">
      <c r="A7" s="20"/>
      <c r="B7" s="6">
        <v>4</v>
      </c>
      <c r="C7" s="21">
        <v>0</v>
      </c>
      <c r="D7" s="22">
        <v>0</v>
      </c>
      <c r="E7" s="23">
        <f t="shared" si="0"/>
        <v>0</v>
      </c>
      <c r="F7" s="22">
        <v>0</v>
      </c>
      <c r="G7" s="22">
        <v>0</v>
      </c>
      <c r="H7" s="23">
        <f t="shared" si="1"/>
        <v>0</v>
      </c>
      <c r="I7" s="22">
        <f>Konštanty!E$13</f>
        <v>0</v>
      </c>
      <c r="J7" s="22">
        <f>J6</f>
        <v>1440000</v>
      </c>
      <c r="K7" s="24">
        <f t="shared" si="2"/>
        <v>1440000</v>
      </c>
      <c r="L7" s="25">
        <f>Konštanty!E$6</f>
        <v>0</v>
      </c>
      <c r="M7" s="26">
        <f>Konštanty!E$7</f>
        <v>0</v>
      </c>
      <c r="N7" s="23">
        <f>IF(ISERR(M7-L7),"-",M7-L7)</f>
        <v>0</v>
      </c>
      <c r="O7" s="27">
        <f>IF(ISERR(Konštanty!E$5*'Vstupy CBA'!F5*'Vstupy CBA'!F35),"-",Konštanty!E$5*'Vstupy CBA'!F5*'Vstupy CBA'!F35)</f>
        <v>1825025.2533333332</v>
      </c>
      <c r="P7" s="27">
        <f>IF(ISERR(Konštanty!E$5*'Vstupy CBA'!G5),"-",Konštanty!E$5*'Vstupy CBA'!G5*'Vstupy CBA'!G35)</f>
        <v>730010.1013333333</v>
      </c>
      <c r="Q7" s="24">
        <f>IF(ISERR(P7-O7),"-",P7-O7)</f>
        <v>-1095015.1519999998</v>
      </c>
      <c r="R7" s="25">
        <f t="shared" si="3"/>
        <v>1825025.2533333332</v>
      </c>
      <c r="S7" s="27">
        <f t="shared" si="3"/>
        <v>2170010.1013333332</v>
      </c>
      <c r="T7" s="24">
        <f t="shared" si="4"/>
        <v>344984.848</v>
      </c>
    </row>
    <row r="8" spans="1:20">
      <c r="A8" s="20"/>
      <c r="B8" s="6">
        <v>5</v>
      </c>
      <c r="C8" s="21">
        <v>0</v>
      </c>
      <c r="D8" s="22">
        <v>0</v>
      </c>
      <c r="E8" s="23">
        <f t="shared" si="0"/>
        <v>0</v>
      </c>
      <c r="F8" s="22">
        <v>0</v>
      </c>
      <c r="G8" s="22">
        <v>0</v>
      </c>
      <c r="H8" s="23">
        <f t="shared" si="1"/>
        <v>0</v>
      </c>
      <c r="I8" s="22">
        <f>Konštanty!E$13</f>
        <v>0</v>
      </c>
      <c r="J8" s="22">
        <f t="shared" ref="J8:J17" si="5">J7</f>
        <v>1440000</v>
      </c>
      <c r="K8" s="24">
        <f t="shared" si="2"/>
        <v>1440000</v>
      </c>
      <c r="L8" s="25">
        <f>Konštanty!E$6</f>
        <v>0</v>
      </c>
      <c r="M8" s="26">
        <f>Konštanty!E$7</f>
        <v>0</v>
      </c>
      <c r="N8" s="23">
        <f>IF(ISERR(M8-L8),"-",M8-L8)</f>
        <v>0</v>
      </c>
      <c r="O8" s="27">
        <f>IF(ISERR(Konštanty!E$5*'Vstupy CBA'!F6*'Vstupy CBA'!F36),"-",Konštanty!E$5*'Vstupy CBA'!F6*'Vstupy CBA'!F36)</f>
        <v>1825025.2533333332</v>
      </c>
      <c r="P8" s="27">
        <f>IF(ISERR(Konštanty!E$5*'Vstupy CBA'!G6),"-",Konštanty!E$5*'Vstupy CBA'!G6*'Vstupy CBA'!G36)</f>
        <v>547507.576</v>
      </c>
      <c r="Q8" s="24">
        <f>IF(ISERR(P8-O8),"-",P8-O8)</f>
        <v>-1277517.6773333331</v>
      </c>
      <c r="R8" s="25">
        <f t="shared" si="3"/>
        <v>1825025.2533333332</v>
      </c>
      <c r="S8" s="27">
        <f t="shared" si="3"/>
        <v>1987507.5759999999</v>
      </c>
      <c r="T8" s="24">
        <f t="shared" si="4"/>
        <v>162482.3226666667</v>
      </c>
    </row>
    <row r="9" spans="1:20">
      <c r="A9" s="20"/>
      <c r="B9" s="6">
        <v>6</v>
      </c>
      <c r="C9" s="21">
        <v>0</v>
      </c>
      <c r="D9" s="22">
        <v>0</v>
      </c>
      <c r="E9" s="23">
        <f t="shared" si="0"/>
        <v>0</v>
      </c>
      <c r="F9" s="22">
        <v>0</v>
      </c>
      <c r="G9" s="22">
        <v>0</v>
      </c>
      <c r="H9" s="23">
        <f t="shared" si="1"/>
        <v>0</v>
      </c>
      <c r="I9" s="22">
        <f>Konštanty!E$13</f>
        <v>0</v>
      </c>
      <c r="J9" s="22">
        <f t="shared" si="5"/>
        <v>1440000</v>
      </c>
      <c r="K9" s="24">
        <f t="shared" si="2"/>
        <v>1440000</v>
      </c>
      <c r="L9" s="25">
        <f>Konštanty!E$6</f>
        <v>0</v>
      </c>
      <c r="M9" s="26">
        <f>Konštanty!E$7</f>
        <v>0</v>
      </c>
      <c r="N9" s="23">
        <f t="shared" ref="N9:N18" si="6">IF(ISERR(M9-L9),"-",M9-L9)</f>
        <v>0</v>
      </c>
      <c r="O9" s="27">
        <f>IF(ISERR(Konštanty!E$5*'Vstupy CBA'!F7*'Vstupy CBA'!F37),"-",Konštanty!E$5*'Vstupy CBA'!F7*'Vstupy CBA'!F37)</f>
        <v>1825025.2533333332</v>
      </c>
      <c r="P9" s="27">
        <f>IF(ISERR(Konštanty!E$5*'Vstupy CBA'!G7),"-",Konštanty!E$5*'Vstupy CBA'!G7*'Vstupy CBA'!G37)</f>
        <v>365005.05066666653</v>
      </c>
      <c r="Q9" s="24">
        <f t="shared" ref="Q9:Q18" si="7">IF(ISERR(P9-O9),"-",P9-O9)</f>
        <v>-1460020.2026666666</v>
      </c>
      <c r="R9" s="25">
        <f t="shared" si="3"/>
        <v>1825025.2533333332</v>
      </c>
      <c r="S9" s="27">
        <f t="shared" si="3"/>
        <v>1805005.0506666666</v>
      </c>
      <c r="T9" s="24">
        <f t="shared" si="4"/>
        <v>-20020.202666666592</v>
      </c>
    </row>
    <row r="10" spans="1:20">
      <c r="A10" s="20"/>
      <c r="B10" s="6">
        <v>7</v>
      </c>
      <c r="C10" s="21">
        <v>0</v>
      </c>
      <c r="D10" s="22">
        <f>Konštanty!E9</f>
        <v>984000</v>
      </c>
      <c r="E10" s="23">
        <f t="shared" si="0"/>
        <v>984000</v>
      </c>
      <c r="F10" s="22">
        <v>0</v>
      </c>
      <c r="G10" s="22">
        <v>0</v>
      </c>
      <c r="H10" s="23">
        <f t="shared" si="1"/>
        <v>0</v>
      </c>
      <c r="I10" s="22">
        <f>Konštanty!E$13</f>
        <v>0</v>
      </c>
      <c r="J10" s="22">
        <f t="shared" si="5"/>
        <v>1440000</v>
      </c>
      <c r="K10" s="24">
        <f t="shared" si="2"/>
        <v>1440000</v>
      </c>
      <c r="L10" s="25">
        <f>Konštanty!E$6</f>
        <v>0</v>
      </c>
      <c r="M10" s="26">
        <f>Konštanty!E$7</f>
        <v>0</v>
      </c>
      <c r="N10" s="23">
        <f t="shared" si="6"/>
        <v>0</v>
      </c>
      <c r="O10" s="27">
        <f>IF(ISERR(Konštanty!E$5*'Vstupy CBA'!F8*'Vstupy CBA'!F38),"-",Konštanty!E$5*'Vstupy CBA'!F8*'Vstupy CBA'!F38)</f>
        <v>1825025.2533333332</v>
      </c>
      <c r="P10" s="27">
        <f>IF(ISERR(Konštanty!E$5*'Vstupy CBA'!G8),"-",Konštanty!E$5*'Vstupy CBA'!G8*'Vstupy CBA'!G38)</f>
        <v>182502.52533333327</v>
      </c>
      <c r="Q10" s="24">
        <f t="shared" si="7"/>
        <v>-1642522.7279999999</v>
      </c>
      <c r="R10" s="25">
        <f t="shared" si="3"/>
        <v>1825025.2533333332</v>
      </c>
      <c r="S10" s="27">
        <f t="shared" si="3"/>
        <v>2606502.5253333333</v>
      </c>
      <c r="T10" s="24">
        <f t="shared" si="4"/>
        <v>781477.27200000011</v>
      </c>
    </row>
    <row r="11" spans="1:20">
      <c r="A11" s="20"/>
      <c r="B11" s="6">
        <v>8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2">
        <v>0</v>
      </c>
      <c r="H11" s="23">
        <f t="shared" si="1"/>
        <v>0</v>
      </c>
      <c r="I11" s="22">
        <f>Konštanty!E$13</f>
        <v>0</v>
      </c>
      <c r="J11" s="22">
        <f t="shared" si="5"/>
        <v>1440000</v>
      </c>
      <c r="K11" s="24">
        <f t="shared" si="2"/>
        <v>1440000</v>
      </c>
      <c r="L11" s="25">
        <f>Konštanty!E$6</f>
        <v>0</v>
      </c>
      <c r="M11" s="26">
        <f>Konštanty!E$7</f>
        <v>0</v>
      </c>
      <c r="N11" s="23">
        <f t="shared" si="6"/>
        <v>0</v>
      </c>
      <c r="O11" s="27">
        <f>IF(ISERR(Konštanty!E$5*'Vstupy CBA'!F9*'Vstupy CBA'!F39),"-",Konštanty!E$5*'Vstupy CBA'!F9*'Vstupy CBA'!F39)</f>
        <v>1825025.2533333332</v>
      </c>
      <c r="P11" s="27">
        <f>IF(ISERR(Konštanty!E$5*'Vstupy CBA'!G9),"-",Konštanty!E$5*'Vstupy CBA'!G9*'Vstupy CBA'!G39)</f>
        <v>0</v>
      </c>
      <c r="Q11" s="24">
        <f t="shared" si="7"/>
        <v>-1825025.2533333332</v>
      </c>
      <c r="R11" s="25">
        <f t="shared" si="3"/>
        <v>1825025.2533333332</v>
      </c>
      <c r="S11" s="27">
        <f t="shared" si="3"/>
        <v>1440000</v>
      </c>
      <c r="T11" s="24">
        <f t="shared" si="4"/>
        <v>-385025.25333333318</v>
      </c>
    </row>
    <row r="12" spans="1:20">
      <c r="A12" s="20"/>
      <c r="B12" s="6">
        <v>9</v>
      </c>
      <c r="C12" s="21">
        <v>0</v>
      </c>
      <c r="D12" s="22">
        <v>0</v>
      </c>
      <c r="E12" s="23">
        <f t="shared" si="0"/>
        <v>0</v>
      </c>
      <c r="F12" s="22">
        <v>0</v>
      </c>
      <c r="G12" s="22">
        <v>0</v>
      </c>
      <c r="H12" s="23">
        <f t="shared" si="1"/>
        <v>0</v>
      </c>
      <c r="I12" s="22">
        <f>Konštanty!E$13</f>
        <v>0</v>
      </c>
      <c r="J12" s="22">
        <f t="shared" si="5"/>
        <v>1440000</v>
      </c>
      <c r="K12" s="24">
        <f t="shared" si="2"/>
        <v>1440000</v>
      </c>
      <c r="L12" s="25">
        <f>Konštanty!E$6</f>
        <v>0</v>
      </c>
      <c r="M12" s="26">
        <f>Konštanty!E$7</f>
        <v>0</v>
      </c>
      <c r="N12" s="23">
        <f t="shared" si="6"/>
        <v>0</v>
      </c>
      <c r="O12" s="27">
        <f>IF(ISERR(Konštanty!E$5*'Vstupy CBA'!F10*'Vstupy CBA'!F40),"-",Konštanty!E$5*'Vstupy CBA'!F10*'Vstupy CBA'!F40)</f>
        <v>1825025.2533333332</v>
      </c>
      <c r="P12" s="27">
        <f>IF(ISERR(Konštanty!E$5*'Vstupy CBA'!G10),"-",Konštanty!E$5*'Vstupy CBA'!G10*'Vstupy CBA'!G40)</f>
        <v>0</v>
      </c>
      <c r="Q12" s="24">
        <f t="shared" si="7"/>
        <v>-1825025.2533333332</v>
      </c>
      <c r="R12" s="25">
        <f t="shared" si="3"/>
        <v>1825025.2533333332</v>
      </c>
      <c r="S12" s="27">
        <f t="shared" si="3"/>
        <v>1440000</v>
      </c>
      <c r="T12" s="24">
        <f t="shared" si="4"/>
        <v>-385025.25333333318</v>
      </c>
    </row>
    <row r="13" spans="1:20">
      <c r="A13" s="20"/>
      <c r="B13" s="6">
        <v>10</v>
      </c>
      <c r="C13" s="21">
        <v>0</v>
      </c>
      <c r="D13" s="22">
        <v>0</v>
      </c>
      <c r="E13" s="23">
        <f t="shared" si="0"/>
        <v>0</v>
      </c>
      <c r="F13" s="22">
        <v>0</v>
      </c>
      <c r="G13" s="22">
        <v>0</v>
      </c>
      <c r="H13" s="23">
        <f t="shared" si="1"/>
        <v>0</v>
      </c>
      <c r="I13" s="22">
        <f>Konštanty!E$13</f>
        <v>0</v>
      </c>
      <c r="J13" s="22">
        <f t="shared" si="5"/>
        <v>1440000</v>
      </c>
      <c r="K13" s="24">
        <f t="shared" si="2"/>
        <v>1440000</v>
      </c>
      <c r="L13" s="25">
        <f>Konštanty!E$6</f>
        <v>0</v>
      </c>
      <c r="M13" s="26">
        <f>Konštanty!E$7</f>
        <v>0</v>
      </c>
      <c r="N13" s="23">
        <f t="shared" si="6"/>
        <v>0</v>
      </c>
      <c r="O13" s="27">
        <f>IF(ISERR(Konštanty!E$5*'Vstupy CBA'!F11*'Vstupy CBA'!F41),"-",Konštanty!E$5*'Vstupy CBA'!F11*'Vstupy CBA'!F41)</f>
        <v>1825025.2533333332</v>
      </c>
      <c r="P13" s="27">
        <f>IF(ISERR(Konštanty!E$5*'Vstupy CBA'!G11),"-",Konštanty!E$5*'Vstupy CBA'!G11*'Vstupy CBA'!G41)</f>
        <v>0</v>
      </c>
      <c r="Q13" s="24">
        <f t="shared" si="7"/>
        <v>-1825025.2533333332</v>
      </c>
      <c r="R13" s="25">
        <f t="shared" si="3"/>
        <v>1825025.2533333332</v>
      </c>
      <c r="S13" s="27">
        <f t="shared" si="3"/>
        <v>1440000</v>
      </c>
      <c r="T13" s="24">
        <f t="shared" si="4"/>
        <v>-385025.25333333318</v>
      </c>
    </row>
    <row r="14" spans="1:20">
      <c r="A14" s="20"/>
      <c r="B14" s="6">
        <v>11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2">
        <v>0</v>
      </c>
      <c r="H14" s="23">
        <f t="shared" si="1"/>
        <v>0</v>
      </c>
      <c r="I14" s="22">
        <f>Konštanty!E$13</f>
        <v>0</v>
      </c>
      <c r="J14" s="22">
        <f t="shared" si="5"/>
        <v>1440000</v>
      </c>
      <c r="K14" s="24">
        <f t="shared" si="2"/>
        <v>1440000</v>
      </c>
      <c r="L14" s="25">
        <f>Konštanty!E$6</f>
        <v>0</v>
      </c>
      <c r="M14" s="26">
        <f>Konštanty!E$7</f>
        <v>0</v>
      </c>
      <c r="N14" s="23">
        <f t="shared" si="6"/>
        <v>0</v>
      </c>
      <c r="O14" s="27">
        <f>IF(ISERR(Konštanty!E$5*'Vstupy CBA'!F12*'Vstupy CBA'!F42),"-",Konštanty!E$5*'Vstupy CBA'!F12*'Vstupy CBA'!F42)</f>
        <v>1825025.2533333332</v>
      </c>
      <c r="P14" s="27">
        <f>IF(ISERR(Konštanty!E$5*'Vstupy CBA'!G12),"-",Konštanty!E$5*'Vstupy CBA'!G12*'Vstupy CBA'!G42)</f>
        <v>0</v>
      </c>
      <c r="Q14" s="24">
        <f t="shared" si="7"/>
        <v>-1825025.2533333332</v>
      </c>
      <c r="R14" s="25">
        <f t="shared" si="3"/>
        <v>1825025.2533333332</v>
      </c>
      <c r="S14" s="27">
        <f t="shared" si="3"/>
        <v>1440000</v>
      </c>
      <c r="T14" s="24">
        <f t="shared" si="4"/>
        <v>-385025.25333333318</v>
      </c>
    </row>
    <row r="15" spans="1:20">
      <c r="A15" s="20"/>
      <c r="B15" s="6">
        <v>12</v>
      </c>
      <c r="C15" s="21">
        <v>0</v>
      </c>
      <c r="D15" s="22">
        <f>D10</f>
        <v>984000</v>
      </c>
      <c r="E15" s="23">
        <f t="shared" si="0"/>
        <v>984000</v>
      </c>
      <c r="F15" s="22">
        <v>0</v>
      </c>
      <c r="G15" s="22">
        <v>0</v>
      </c>
      <c r="H15" s="23">
        <f t="shared" si="1"/>
        <v>0</v>
      </c>
      <c r="I15" s="22">
        <f>Konštanty!E$13</f>
        <v>0</v>
      </c>
      <c r="J15" s="22">
        <f t="shared" si="5"/>
        <v>1440000</v>
      </c>
      <c r="K15" s="24">
        <f t="shared" si="2"/>
        <v>1440000</v>
      </c>
      <c r="L15" s="25">
        <f>Konštanty!E$6</f>
        <v>0</v>
      </c>
      <c r="M15" s="26">
        <f>Konštanty!E$7</f>
        <v>0</v>
      </c>
      <c r="N15" s="23">
        <f t="shared" si="6"/>
        <v>0</v>
      </c>
      <c r="O15" s="27">
        <f>IF(ISERR(Konštanty!E$5*'Vstupy CBA'!F13*'Vstupy CBA'!F43),"-",Konštanty!E$5*'Vstupy CBA'!F13*'Vstupy CBA'!F43)</f>
        <v>1825025.2533333332</v>
      </c>
      <c r="P15" s="27">
        <f>IF(ISERR(Konštanty!E$5*'Vstupy CBA'!G13),"-",Konštanty!E$5*'Vstupy CBA'!G13*'Vstupy CBA'!G43)</f>
        <v>0</v>
      </c>
      <c r="Q15" s="24">
        <f t="shared" si="7"/>
        <v>-1825025.2533333332</v>
      </c>
      <c r="R15" s="25">
        <f t="shared" si="3"/>
        <v>1825025.2533333332</v>
      </c>
      <c r="S15" s="27">
        <f t="shared" si="3"/>
        <v>2424000</v>
      </c>
      <c r="T15" s="24">
        <f t="shared" si="4"/>
        <v>598974.74666666682</v>
      </c>
    </row>
    <row r="16" spans="1:20">
      <c r="A16" s="20"/>
      <c r="B16" s="6">
        <v>13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2">
        <v>0</v>
      </c>
      <c r="H16" s="23">
        <f t="shared" si="1"/>
        <v>0</v>
      </c>
      <c r="I16" s="22">
        <f>Konštanty!E$13</f>
        <v>0</v>
      </c>
      <c r="J16" s="22">
        <f t="shared" si="5"/>
        <v>1440000</v>
      </c>
      <c r="K16" s="24">
        <f t="shared" si="2"/>
        <v>1440000</v>
      </c>
      <c r="L16" s="25">
        <f>Konštanty!E$6</f>
        <v>0</v>
      </c>
      <c r="M16" s="26">
        <f>Konštanty!E$7</f>
        <v>0</v>
      </c>
      <c r="N16" s="23">
        <f t="shared" si="6"/>
        <v>0</v>
      </c>
      <c r="O16" s="27">
        <f>IF(ISERR(Konštanty!E$5*'Vstupy CBA'!F14*'Vstupy CBA'!F44),"-",Konštanty!E$5*'Vstupy CBA'!F14*'Vstupy CBA'!F44)</f>
        <v>1825025.2533333332</v>
      </c>
      <c r="P16" s="27">
        <f>IF(ISERR(Konštanty!E$5*'Vstupy CBA'!G14),"-",Konštanty!E$5*'Vstupy CBA'!G14*'Vstupy CBA'!G44)</f>
        <v>0</v>
      </c>
      <c r="Q16" s="24">
        <f t="shared" si="7"/>
        <v>-1825025.2533333332</v>
      </c>
      <c r="R16" s="25">
        <f t="shared" si="3"/>
        <v>1825025.2533333332</v>
      </c>
      <c r="S16" s="27">
        <f t="shared" si="3"/>
        <v>1440000</v>
      </c>
      <c r="T16" s="24">
        <f t="shared" si="4"/>
        <v>-385025.25333333318</v>
      </c>
    </row>
    <row r="17" spans="1:20">
      <c r="A17" s="20"/>
      <c r="B17" s="6">
        <v>14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2">
        <v>0</v>
      </c>
      <c r="H17" s="23">
        <f t="shared" si="1"/>
        <v>0</v>
      </c>
      <c r="I17" s="22">
        <f>Konštanty!E$13</f>
        <v>0</v>
      </c>
      <c r="J17" s="22">
        <f t="shared" si="5"/>
        <v>1440000</v>
      </c>
      <c r="K17" s="24">
        <f t="shared" si="2"/>
        <v>1440000</v>
      </c>
      <c r="L17" s="25">
        <f>Konštanty!E$6</f>
        <v>0</v>
      </c>
      <c r="M17" s="26">
        <f>Konštanty!E$7</f>
        <v>0</v>
      </c>
      <c r="N17" s="23">
        <f t="shared" si="6"/>
        <v>0</v>
      </c>
      <c r="O17" s="27">
        <f>IF(ISERR(Konštanty!E$5*'Vstupy CBA'!F15*'Vstupy CBA'!F45),"-",Konštanty!E$5*'Vstupy CBA'!F15*'Vstupy CBA'!F45)</f>
        <v>1825025.2533333332</v>
      </c>
      <c r="P17" s="27">
        <f>IF(ISERR(Konštanty!E$5*'Vstupy CBA'!G15),"-",Konštanty!E$5*'Vstupy CBA'!G15*'Vstupy CBA'!G45)</f>
        <v>0</v>
      </c>
      <c r="Q17" s="24">
        <f t="shared" si="7"/>
        <v>-1825025.2533333332</v>
      </c>
      <c r="R17" s="25">
        <f t="shared" si="3"/>
        <v>1825025.2533333332</v>
      </c>
      <c r="S17" s="27">
        <f t="shared" si="3"/>
        <v>1440000</v>
      </c>
      <c r="T17" s="24">
        <f t="shared" si="4"/>
        <v>-385025.25333333318</v>
      </c>
    </row>
    <row r="18" spans="1:20">
      <c r="A18" s="28"/>
      <c r="B18" s="29">
        <v>15</v>
      </c>
      <c r="C18" s="30">
        <v>0</v>
      </c>
      <c r="D18" s="31">
        <v>0</v>
      </c>
      <c r="E18" s="32">
        <f t="shared" si="0"/>
        <v>0</v>
      </c>
      <c r="F18" s="31">
        <v>0</v>
      </c>
      <c r="G18" s="31">
        <v>0</v>
      </c>
      <c r="H18" s="32">
        <f t="shared" si="1"/>
        <v>0</v>
      </c>
      <c r="I18" s="31">
        <f>Konštanty!E$13</f>
        <v>0</v>
      </c>
      <c r="J18" s="31">
        <f>J17</f>
        <v>1440000</v>
      </c>
      <c r="K18" s="33">
        <f t="shared" si="2"/>
        <v>1440000</v>
      </c>
      <c r="L18" s="34">
        <f>Konštanty!E$6</f>
        <v>0</v>
      </c>
      <c r="M18" s="35">
        <f>Konštanty!E7</f>
        <v>0</v>
      </c>
      <c r="N18" s="32">
        <f t="shared" si="6"/>
        <v>0</v>
      </c>
      <c r="O18" s="32">
        <f>IF(ISERR(Konštanty!E$5*'Vstupy CBA'!F16*'Vstupy CBA'!F46),"-",Konštanty!E$5*'Vstupy CBA'!F16*'Vstupy CBA'!F46)</f>
        <v>1825025.2533333332</v>
      </c>
      <c r="P18" s="32">
        <f>IF(ISERR(Konštanty!E$5*'Vstupy CBA'!G16),"-",Konštanty!E$5*'Vstupy CBA'!G16*'Vstupy CBA'!G46)</f>
        <v>0</v>
      </c>
      <c r="Q18" s="33">
        <f t="shared" si="7"/>
        <v>-1825025.2533333332</v>
      </c>
      <c r="R18" s="25">
        <f t="shared" si="3"/>
        <v>1825025.2533333332</v>
      </c>
      <c r="S18" s="27">
        <f t="shared" si="3"/>
        <v>1440000</v>
      </c>
      <c r="T18" s="24">
        <f t="shared" si="4"/>
        <v>-385025.25333333318</v>
      </c>
    </row>
    <row r="19" spans="1:20">
      <c r="Q19" s="37" t="s">
        <v>22</v>
      </c>
      <c r="R19" s="38">
        <f>SUM(R4:R18)</f>
        <v>27375378.800000004</v>
      </c>
      <c r="S19" s="39">
        <f>SUM(S4:S18)</f>
        <v>39075588.38666667</v>
      </c>
      <c r="T19" s="40">
        <f>SUM(T4:T18)</f>
        <v>11700209.586666662</v>
      </c>
    </row>
    <row r="21" spans="1:20" ht="12.75" customHeight="1">
      <c r="A21" s="41" t="s">
        <v>37</v>
      </c>
      <c r="B21" s="5"/>
      <c r="C21" s="153" t="s">
        <v>38</v>
      </c>
      <c r="D21" s="154"/>
      <c r="E21" s="155"/>
      <c r="F21" s="153" t="s">
        <v>39</v>
      </c>
      <c r="G21" s="154"/>
      <c r="H21" s="154"/>
      <c r="I21" s="154"/>
      <c r="J21" s="154"/>
      <c r="K21" s="154"/>
      <c r="L21" s="154"/>
      <c r="M21" s="154"/>
      <c r="N21" s="155"/>
      <c r="O21" s="156" t="s">
        <v>40</v>
      </c>
      <c r="P21" s="157"/>
      <c r="Q21" s="157"/>
      <c r="R21" s="157"/>
      <c r="S21" s="157"/>
      <c r="T21" s="158"/>
    </row>
    <row r="22" spans="1:20" ht="27" customHeight="1">
      <c r="A22" s="7"/>
      <c r="B22" s="8"/>
      <c r="C22" s="159" t="s">
        <v>41</v>
      </c>
      <c r="D22" s="160"/>
      <c r="E22" s="160"/>
      <c r="F22" s="159" t="s">
        <v>42</v>
      </c>
      <c r="G22" s="160"/>
      <c r="H22" s="160"/>
      <c r="I22" s="160" t="s">
        <v>43</v>
      </c>
      <c r="J22" s="160"/>
      <c r="K22" s="160"/>
      <c r="L22" s="160" t="s">
        <v>44</v>
      </c>
      <c r="M22" s="160"/>
      <c r="N22" s="161"/>
      <c r="O22" s="164" t="s">
        <v>45</v>
      </c>
      <c r="P22" s="165"/>
      <c r="Q22" s="166"/>
      <c r="R22" s="164" t="s">
        <v>46</v>
      </c>
      <c r="S22" s="165"/>
      <c r="T22" s="166"/>
    </row>
    <row r="23" spans="1:20">
      <c r="A23" s="7"/>
      <c r="B23" s="12" t="s">
        <v>32</v>
      </c>
      <c r="C23" s="13" t="s">
        <v>33</v>
      </c>
      <c r="D23" s="14" t="s">
        <v>34</v>
      </c>
      <c r="E23" s="15" t="s">
        <v>35</v>
      </c>
      <c r="F23" s="13" t="s">
        <v>33</v>
      </c>
      <c r="G23" s="14" t="s">
        <v>34</v>
      </c>
      <c r="H23" s="15" t="s">
        <v>35</v>
      </c>
      <c r="I23" s="14" t="s">
        <v>33</v>
      </c>
      <c r="J23" s="14" t="s">
        <v>34</v>
      </c>
      <c r="K23" s="15" t="s">
        <v>35</v>
      </c>
      <c r="L23" s="14" t="s">
        <v>33</v>
      </c>
      <c r="M23" s="14" t="s">
        <v>34</v>
      </c>
      <c r="N23" s="16" t="s">
        <v>35</v>
      </c>
      <c r="O23" s="17" t="s">
        <v>33</v>
      </c>
      <c r="P23" s="18" t="s">
        <v>34</v>
      </c>
      <c r="Q23" s="19" t="s">
        <v>35</v>
      </c>
      <c r="R23" s="17" t="s">
        <v>33</v>
      </c>
      <c r="S23" s="18" t="s">
        <v>34</v>
      </c>
      <c r="T23" s="19" t="s">
        <v>35</v>
      </c>
    </row>
    <row r="24" spans="1:20" ht="14">
      <c r="A24" s="20"/>
      <c r="B24" s="6">
        <v>1</v>
      </c>
      <c r="C24" s="21">
        <f>IF(ISERR('Vstupy CBA'!F2*'Vstupy CBA'!F17),"-",'Vstupy CBA'!F2*'Vstupy CBA'!F17)</f>
        <v>0</v>
      </c>
      <c r="D24" s="21">
        <f>IF(ISERR('Vstupy CBA'!G2*'Vstupy CBA'!G17),"-",'Vstupy CBA'!G2*'Vstupy CBA'!G17)</f>
        <v>0</v>
      </c>
      <c r="E24" s="24">
        <f>IF(ISERR(D24-C24),"-",D24-C24)</f>
        <v>0</v>
      </c>
      <c r="F24" s="21" t="s">
        <v>36</v>
      </c>
      <c r="G24" s="22" t="s">
        <v>36</v>
      </c>
      <c r="H24" s="23" t="str">
        <f t="shared" ref="H24:H38" si="8">IF(ISERR(G24-F24),"-",G24-F24)</f>
        <v>-</v>
      </c>
      <c r="I24" s="27">
        <f>0+'Vstupy CBA'!F62*'Vstupy CBA'!F2</f>
        <v>0</v>
      </c>
      <c r="J24" s="27">
        <f>IF(ISERR(Konštanty!$E$4*'Vstupy CBA'!G2*-1*('Vstupy CBA'!H47)),"-",Konštanty!$E$4*'Vstupy CBA'!G2*-1*'Vstupy CBA'!H47)</f>
        <v>0</v>
      </c>
      <c r="K24" s="23">
        <f>IF(ISERR(J24-I24),"-",J24-I24)</f>
        <v>0</v>
      </c>
      <c r="L24" s="3">
        <f>'Vstupy CBA'!F77</f>
        <v>0</v>
      </c>
      <c r="M24" s="3">
        <f>'Vstupy CBA'!G77</f>
        <v>0</v>
      </c>
      <c r="N24" s="24">
        <f>IF(ISERR(M24-L24),"-",M24-L24)</f>
        <v>0</v>
      </c>
      <c r="O24" s="25">
        <f t="shared" ref="O24:P38" si="9">SUM(C24,F24)</f>
        <v>0</v>
      </c>
      <c r="P24" s="27">
        <f t="shared" si="9"/>
        <v>0</v>
      </c>
      <c r="Q24" s="24">
        <f>P24-O24</f>
        <v>0</v>
      </c>
      <c r="R24" s="25">
        <f>SUM(I24,L24,O24)</f>
        <v>0</v>
      </c>
      <c r="S24" s="27">
        <f>SUM(J24,M24,P24)</f>
        <v>0</v>
      </c>
      <c r="T24" s="24">
        <f>S24-R24</f>
        <v>0</v>
      </c>
    </row>
    <row r="25" spans="1:20" ht="14">
      <c r="A25" s="20"/>
      <c r="B25" s="6">
        <v>2</v>
      </c>
      <c r="C25" s="21">
        <f>IF(ISERR('Vstupy CBA'!F3*'Vstupy CBA'!F18),"-",'Vstupy CBA'!F3*'Vstupy CBA'!F18)</f>
        <v>0</v>
      </c>
      <c r="D25" s="21">
        <f>IF(ISERR('Vstupy CBA'!G3*'Vstupy CBA'!G18),"-",'Vstupy CBA'!G3*'Vstupy CBA'!G18)</f>
        <v>0</v>
      </c>
      <c r="E25" s="24">
        <f t="shared" ref="E25:E38" si="10">IF(ISERR(D25-C25),"-",D25-C25)</f>
        <v>0</v>
      </c>
      <c r="F25" s="21" t="s">
        <v>36</v>
      </c>
      <c r="G25" s="22" t="s">
        <v>36</v>
      </c>
      <c r="H25" s="23" t="str">
        <f t="shared" si="8"/>
        <v>-</v>
      </c>
      <c r="I25" s="27">
        <f>0+'Vstupy CBA'!F63*'Vstupy CBA'!F3</f>
        <v>0</v>
      </c>
      <c r="J25" s="27">
        <f>IF(ISERR(Konštanty!$E$4*'Vstupy CBA'!G3*-1*('Vstupy CBA'!H48)),"-",Konštanty!$E$4*'Vstupy CBA'!G3*-1*'Vstupy CBA'!H48)</f>
        <v>0</v>
      </c>
      <c r="K25" s="23">
        <f t="shared" ref="K25:K38" si="11">IF(ISERR(J25-I25),"-",J25-I25)</f>
        <v>0</v>
      </c>
      <c r="L25" s="3">
        <f>'Vstupy CBA'!F78</f>
        <v>0</v>
      </c>
      <c r="M25" s="3">
        <f>'Vstupy CBA'!G78</f>
        <v>0</v>
      </c>
      <c r="N25" s="24">
        <f t="shared" ref="N25:N38" si="12">IF(ISERR(M25-L25),"-",M25-L25)</f>
        <v>0</v>
      </c>
      <c r="O25" s="25">
        <f t="shared" si="9"/>
        <v>0</v>
      </c>
      <c r="P25" s="27">
        <f t="shared" si="9"/>
        <v>0</v>
      </c>
      <c r="Q25" s="24">
        <f t="shared" ref="Q25:Q38" si="13">P25-O25</f>
        <v>0</v>
      </c>
      <c r="R25" s="25">
        <f t="shared" ref="R25:S38" si="14">SUM(I25,L25,O25)</f>
        <v>0</v>
      </c>
      <c r="S25" s="27">
        <f t="shared" si="14"/>
        <v>0</v>
      </c>
      <c r="T25" s="24">
        <f t="shared" ref="T25:T38" si="15">S25-R25</f>
        <v>0</v>
      </c>
    </row>
    <row r="26" spans="1:20" ht="14">
      <c r="A26" s="20"/>
      <c r="B26" s="6">
        <v>3</v>
      </c>
      <c r="C26" s="21">
        <f>IF(ISERR('Vstupy CBA'!F4*'Vstupy CBA'!F19),"-",'Vstupy CBA'!F4*'Vstupy CBA'!F19)</f>
        <v>0</v>
      </c>
      <c r="D26" s="21">
        <f>IF(ISERR('Vstupy CBA'!G4*'Vstupy CBA'!G19),"-",'Vstupy CBA'!G4*'Vstupy CBA'!G19)</f>
        <v>0</v>
      </c>
      <c r="E26" s="24">
        <f t="shared" si="10"/>
        <v>0</v>
      </c>
      <c r="F26" s="21" t="s">
        <v>36</v>
      </c>
      <c r="G26" s="22" t="s">
        <v>36</v>
      </c>
      <c r="H26" s="23" t="str">
        <f t="shared" si="8"/>
        <v>-</v>
      </c>
      <c r="I26" s="27">
        <f>0+'Vstupy CBA'!F64*'Vstupy CBA'!F4</f>
        <v>0</v>
      </c>
      <c r="J26" s="27">
        <f>IF(ISERR(Konštanty!$E$4*'Vstupy CBA'!G4*-1*('Vstupy CBA'!H49)),"-",Konštanty!$E$4*'Vstupy CBA'!G4*-1*'Vstupy CBA'!H49)</f>
        <v>1325181.8480220789</v>
      </c>
      <c r="K26" s="23">
        <f t="shared" si="11"/>
        <v>1325181.8480220789</v>
      </c>
      <c r="L26" s="3">
        <f>'Vstupy CBA'!F79</f>
        <v>0</v>
      </c>
      <c r="M26" s="3">
        <f>'Vstupy CBA'!G79</f>
        <v>0</v>
      </c>
      <c r="N26" s="24">
        <f>IF(ISERR(M26-L26),"-",M26-L26)</f>
        <v>0</v>
      </c>
      <c r="O26" s="25">
        <f t="shared" si="9"/>
        <v>0</v>
      </c>
      <c r="P26" s="27">
        <f t="shared" si="9"/>
        <v>0</v>
      </c>
      <c r="Q26" s="24">
        <f t="shared" si="13"/>
        <v>0</v>
      </c>
      <c r="R26" s="25">
        <f t="shared" si="14"/>
        <v>0</v>
      </c>
      <c r="S26" s="27">
        <f>SUM(J26,M26,P26)</f>
        <v>1325181.8480220789</v>
      </c>
      <c r="T26" s="24">
        <f t="shared" si="15"/>
        <v>1325181.8480220789</v>
      </c>
    </row>
    <row r="27" spans="1:20" ht="14">
      <c r="A27" s="20"/>
      <c r="B27" s="6">
        <v>4</v>
      </c>
      <c r="C27" s="21">
        <f>IF(ISERR('Vstupy CBA'!F5*'Vstupy CBA'!F20),"-",'Vstupy CBA'!F5*'Vstupy CBA'!F20)</f>
        <v>0</v>
      </c>
      <c r="D27" s="21">
        <f>IF(ISERR('Vstupy CBA'!G5*'Vstupy CBA'!G20),"-",'Vstupy CBA'!G5*'Vstupy CBA'!G20)</f>
        <v>0</v>
      </c>
      <c r="E27" s="24">
        <f t="shared" si="10"/>
        <v>0</v>
      </c>
      <c r="F27" s="21" t="s">
        <v>36</v>
      </c>
      <c r="G27" s="22" t="s">
        <v>36</v>
      </c>
      <c r="H27" s="23" t="str">
        <f t="shared" si="8"/>
        <v>-</v>
      </c>
      <c r="I27" s="27">
        <f>0+'Vstupy CBA'!F65*'Vstupy CBA'!F5</f>
        <v>0</v>
      </c>
      <c r="J27" s="27">
        <f>IF(ISERR(Konštanty!$E$4*'Vstupy CBA'!G5*-1*('Vstupy CBA'!H50)),"-",Konštanty!$E$4*'Vstupy CBA'!G5*-1*'Vstupy CBA'!H50)</f>
        <v>1590218.2176264946</v>
      </c>
      <c r="K27" s="23">
        <f t="shared" si="11"/>
        <v>1590218.2176264946</v>
      </c>
      <c r="L27" s="3">
        <f>'Vstupy CBA'!F80</f>
        <v>0</v>
      </c>
      <c r="M27" s="3">
        <f>'Vstupy CBA'!G80</f>
        <v>0</v>
      </c>
      <c r="N27" s="24">
        <f t="shared" si="12"/>
        <v>0</v>
      </c>
      <c r="O27" s="25">
        <f t="shared" si="9"/>
        <v>0</v>
      </c>
      <c r="P27" s="27">
        <f t="shared" si="9"/>
        <v>0</v>
      </c>
      <c r="Q27" s="24">
        <f t="shared" si="13"/>
        <v>0</v>
      </c>
      <c r="R27" s="25">
        <f t="shared" si="14"/>
        <v>0</v>
      </c>
      <c r="S27" s="27">
        <f t="shared" si="14"/>
        <v>1590218.2176264946</v>
      </c>
      <c r="T27" s="24">
        <f t="shared" si="15"/>
        <v>1590218.2176264946</v>
      </c>
    </row>
    <row r="28" spans="1:20" ht="14">
      <c r="A28" s="20"/>
      <c r="B28" s="6">
        <v>5</v>
      </c>
      <c r="C28" s="21">
        <f>IF(ISERR('Vstupy CBA'!F6*'Vstupy CBA'!F21),"-",'Vstupy CBA'!F6*'Vstupy CBA'!F21)</f>
        <v>0</v>
      </c>
      <c r="D28" s="21">
        <f>IF(ISERR('Vstupy CBA'!G6*'Vstupy CBA'!G21),"-",'Vstupy CBA'!G6*'Vstupy CBA'!G21)</f>
        <v>0</v>
      </c>
      <c r="E28" s="24">
        <f t="shared" si="10"/>
        <v>0</v>
      </c>
      <c r="F28" s="21" t="s">
        <v>36</v>
      </c>
      <c r="G28" s="22" t="s">
        <v>36</v>
      </c>
      <c r="H28" s="23" t="str">
        <f t="shared" si="8"/>
        <v>-</v>
      </c>
      <c r="I28" s="27">
        <f>0+'Vstupy CBA'!F66*'Vstupy CBA'!F6</f>
        <v>0</v>
      </c>
      <c r="J28" s="27">
        <f>IF(ISERR(Konštanty!$E$4*'Vstupy CBA'!G6*-1*('Vstupy CBA'!H51)),"-",Konštanty!$E$4*'Vstupy CBA'!G6*-1*'Vstupy CBA'!H51)</f>
        <v>1855254.5872309103</v>
      </c>
      <c r="K28" s="23">
        <f t="shared" si="11"/>
        <v>1855254.5872309103</v>
      </c>
      <c r="L28" s="3">
        <f>'Vstupy CBA'!F81</f>
        <v>0</v>
      </c>
      <c r="M28" s="3">
        <f>'Vstupy CBA'!G81</f>
        <v>0</v>
      </c>
      <c r="N28" s="24">
        <f t="shared" si="12"/>
        <v>0</v>
      </c>
      <c r="O28" s="25">
        <f t="shared" si="9"/>
        <v>0</v>
      </c>
      <c r="P28" s="27">
        <f t="shared" si="9"/>
        <v>0</v>
      </c>
      <c r="Q28" s="24">
        <f t="shared" si="13"/>
        <v>0</v>
      </c>
      <c r="R28" s="25">
        <f t="shared" si="14"/>
        <v>0</v>
      </c>
      <c r="S28" s="27">
        <f t="shared" si="14"/>
        <v>1855254.5872309103</v>
      </c>
      <c r="T28" s="24">
        <f t="shared" si="15"/>
        <v>1855254.5872309103</v>
      </c>
    </row>
    <row r="29" spans="1:20" ht="14">
      <c r="A29" s="20"/>
      <c r="B29" s="6">
        <v>6</v>
      </c>
      <c r="C29" s="21">
        <f>IF(ISERR('Vstupy CBA'!F7*'Vstupy CBA'!F22),"-",'Vstupy CBA'!F7*'Vstupy CBA'!F22)</f>
        <v>0</v>
      </c>
      <c r="D29" s="21">
        <f>IF(ISERR('Vstupy CBA'!G7*'Vstupy CBA'!G22),"-",'Vstupy CBA'!G7*'Vstupy CBA'!G22)</f>
        <v>0</v>
      </c>
      <c r="E29" s="24">
        <f t="shared" si="10"/>
        <v>0</v>
      </c>
      <c r="F29" s="21" t="s">
        <v>36</v>
      </c>
      <c r="G29" s="22" t="s">
        <v>36</v>
      </c>
      <c r="H29" s="23" t="str">
        <f t="shared" si="8"/>
        <v>-</v>
      </c>
      <c r="I29" s="27">
        <f>0+'Vstupy CBA'!F67*'Vstupy CBA'!F7</f>
        <v>0</v>
      </c>
      <c r="J29" s="27">
        <f>IF(ISERR(Konštanty!$E$4*'Vstupy CBA'!G7*-1*('Vstupy CBA'!H52)),"-",Konštanty!$E$4*'Vstupy CBA'!G7*-1*'Vstupy CBA'!H52)</f>
        <v>2120290.9568353263</v>
      </c>
      <c r="K29" s="23">
        <f t="shared" si="11"/>
        <v>2120290.9568353263</v>
      </c>
      <c r="L29" s="3">
        <f>'Vstupy CBA'!F82</f>
        <v>0</v>
      </c>
      <c r="M29" s="3">
        <f>'Vstupy CBA'!G82</f>
        <v>0</v>
      </c>
      <c r="N29" s="24">
        <f t="shared" si="12"/>
        <v>0</v>
      </c>
      <c r="O29" s="25">
        <f t="shared" si="9"/>
        <v>0</v>
      </c>
      <c r="P29" s="27">
        <f t="shared" si="9"/>
        <v>0</v>
      </c>
      <c r="Q29" s="24">
        <f t="shared" si="13"/>
        <v>0</v>
      </c>
      <c r="R29" s="25">
        <f t="shared" si="14"/>
        <v>0</v>
      </c>
      <c r="S29" s="27">
        <f t="shared" si="14"/>
        <v>2120290.9568353263</v>
      </c>
      <c r="T29" s="24">
        <f t="shared" si="15"/>
        <v>2120290.9568353263</v>
      </c>
    </row>
    <row r="30" spans="1:20" ht="14">
      <c r="A30" s="20"/>
      <c r="B30" s="6">
        <v>7</v>
      </c>
      <c r="C30" s="21">
        <f>IF(ISERR('Vstupy CBA'!F8*'Vstupy CBA'!F23),"-",'Vstupy CBA'!F8*'Vstupy CBA'!F23)</f>
        <v>0</v>
      </c>
      <c r="D30" s="21">
        <f>IF(ISERR('Vstupy CBA'!G8*'Vstupy CBA'!G23),"-",'Vstupy CBA'!G8*'Vstupy CBA'!G23)</f>
        <v>0</v>
      </c>
      <c r="E30" s="24">
        <f t="shared" si="10"/>
        <v>0</v>
      </c>
      <c r="F30" s="21" t="s">
        <v>36</v>
      </c>
      <c r="G30" s="22" t="s">
        <v>36</v>
      </c>
      <c r="H30" s="23" t="str">
        <f t="shared" si="8"/>
        <v>-</v>
      </c>
      <c r="I30" s="27">
        <f>0+'Vstupy CBA'!F68*'Vstupy CBA'!F8</f>
        <v>0</v>
      </c>
      <c r="J30" s="27">
        <f>IF(ISERR(Konštanty!$E$4*'Vstupy CBA'!G8*-1*('Vstupy CBA'!H53)),"-",Konštanty!$E$4*'Vstupy CBA'!G8*-1*'Vstupy CBA'!H53)</f>
        <v>2385327.326439742</v>
      </c>
      <c r="K30" s="23">
        <f t="shared" si="11"/>
        <v>2385327.326439742</v>
      </c>
      <c r="L30" s="3">
        <f>'Vstupy CBA'!F83</f>
        <v>0</v>
      </c>
      <c r="M30" s="3">
        <f>'Vstupy CBA'!G83</f>
        <v>0</v>
      </c>
      <c r="N30" s="24">
        <f t="shared" si="12"/>
        <v>0</v>
      </c>
      <c r="O30" s="25">
        <f t="shared" si="9"/>
        <v>0</v>
      </c>
      <c r="P30" s="27">
        <f t="shared" si="9"/>
        <v>0</v>
      </c>
      <c r="Q30" s="24">
        <f t="shared" si="13"/>
        <v>0</v>
      </c>
      <c r="R30" s="25">
        <f t="shared" si="14"/>
        <v>0</v>
      </c>
      <c r="S30" s="27">
        <f t="shared" si="14"/>
        <v>2385327.326439742</v>
      </c>
      <c r="T30" s="24">
        <f t="shared" si="15"/>
        <v>2385327.326439742</v>
      </c>
    </row>
    <row r="31" spans="1:20" ht="14">
      <c r="A31" s="20"/>
      <c r="B31" s="6">
        <v>8</v>
      </c>
      <c r="C31" s="21">
        <f>IF(ISERR('Vstupy CBA'!F9*'Vstupy CBA'!F24),"-",'Vstupy CBA'!F9*'Vstupy CBA'!F24)</f>
        <v>0</v>
      </c>
      <c r="D31" s="21">
        <f>IF(ISERR('Vstupy CBA'!G9*'Vstupy CBA'!G24),"-",'Vstupy CBA'!G9*'Vstupy CBA'!G24)</f>
        <v>0</v>
      </c>
      <c r="E31" s="24">
        <f t="shared" si="10"/>
        <v>0</v>
      </c>
      <c r="F31" s="21" t="s">
        <v>36</v>
      </c>
      <c r="G31" s="22" t="s">
        <v>36</v>
      </c>
      <c r="H31" s="23" t="str">
        <f t="shared" si="8"/>
        <v>-</v>
      </c>
      <c r="I31" s="27">
        <f>0+'Vstupy CBA'!F69*'Vstupy CBA'!F9</f>
        <v>0</v>
      </c>
      <c r="J31" s="27">
        <f>IF(ISERR(Konštanty!$E$4*'Vstupy CBA'!G9*-1*('Vstupy CBA'!H54)),"-",Konštanty!$E$4*'Vstupy CBA'!G9*-1*'Vstupy CBA'!H54)</f>
        <v>2650363.6960441577</v>
      </c>
      <c r="K31" s="23">
        <f t="shared" si="11"/>
        <v>2650363.6960441577</v>
      </c>
      <c r="L31" s="3">
        <f>'Vstupy CBA'!F84</f>
        <v>0</v>
      </c>
      <c r="M31" s="3">
        <f>'Vstupy CBA'!G84</f>
        <v>0</v>
      </c>
      <c r="N31" s="24">
        <f t="shared" si="12"/>
        <v>0</v>
      </c>
      <c r="O31" s="25">
        <f t="shared" si="9"/>
        <v>0</v>
      </c>
      <c r="P31" s="27">
        <f t="shared" si="9"/>
        <v>0</v>
      </c>
      <c r="Q31" s="24">
        <f t="shared" si="13"/>
        <v>0</v>
      </c>
      <c r="R31" s="25">
        <f t="shared" si="14"/>
        <v>0</v>
      </c>
      <c r="S31" s="27">
        <f t="shared" si="14"/>
        <v>2650363.6960441577</v>
      </c>
      <c r="T31" s="24">
        <f t="shared" si="15"/>
        <v>2650363.6960441577</v>
      </c>
    </row>
    <row r="32" spans="1:20" ht="14">
      <c r="A32" s="20"/>
      <c r="B32" s="6">
        <v>9</v>
      </c>
      <c r="C32" s="21">
        <f>IF(ISERR('Vstupy CBA'!F10*'Vstupy CBA'!F25),"-",'Vstupy CBA'!F10*'Vstupy CBA'!F25)</f>
        <v>0</v>
      </c>
      <c r="D32" s="21">
        <f>IF(ISERR('Vstupy CBA'!G10*'Vstupy CBA'!G25),"-",'Vstupy CBA'!G10*'Vstupy CBA'!G25)</f>
        <v>0</v>
      </c>
      <c r="E32" s="24">
        <f t="shared" si="10"/>
        <v>0</v>
      </c>
      <c r="F32" s="21" t="s">
        <v>36</v>
      </c>
      <c r="G32" s="22" t="s">
        <v>36</v>
      </c>
      <c r="H32" s="23" t="str">
        <f t="shared" si="8"/>
        <v>-</v>
      </c>
      <c r="I32" s="27">
        <f>0+'Vstupy CBA'!F70*'Vstupy CBA'!F10</f>
        <v>0</v>
      </c>
      <c r="J32" s="27">
        <f>IF(ISERR(Konštanty!$E$4*'Vstupy CBA'!G10*-1*('Vstupy CBA'!H55)),"-",Konštanty!$E$4*'Vstupy CBA'!G10*-1*'Vstupy CBA'!H55)</f>
        <v>2650363.6960441577</v>
      </c>
      <c r="K32" s="23">
        <f t="shared" si="11"/>
        <v>2650363.6960441577</v>
      </c>
      <c r="L32" s="3">
        <f>'Vstupy CBA'!F85</f>
        <v>0</v>
      </c>
      <c r="M32" s="3">
        <f>'Vstupy CBA'!G85</f>
        <v>0</v>
      </c>
      <c r="N32" s="24">
        <f>IF(ISERR(M32-L32),"-",M32-L32)</f>
        <v>0</v>
      </c>
      <c r="O32" s="25">
        <f t="shared" si="9"/>
        <v>0</v>
      </c>
      <c r="P32" s="27">
        <f t="shared" si="9"/>
        <v>0</v>
      </c>
      <c r="Q32" s="24">
        <f t="shared" si="13"/>
        <v>0</v>
      </c>
      <c r="R32" s="25">
        <f t="shared" si="14"/>
        <v>0</v>
      </c>
      <c r="S32" s="27">
        <f>SUM(J32,M32,P32)</f>
        <v>2650363.6960441577</v>
      </c>
      <c r="T32" s="24">
        <f t="shared" si="15"/>
        <v>2650363.6960441577</v>
      </c>
    </row>
    <row r="33" spans="1:20" ht="14">
      <c r="A33" s="20"/>
      <c r="B33" s="6">
        <v>10</v>
      </c>
      <c r="C33" s="21">
        <f>IF(ISERR('Vstupy CBA'!F11*'Vstupy CBA'!F26),"-",'Vstupy CBA'!F11*'Vstupy CBA'!F26)</f>
        <v>0</v>
      </c>
      <c r="D33" s="21">
        <f>IF(ISERR('Vstupy CBA'!G11*'Vstupy CBA'!G26),"-",'Vstupy CBA'!G11*'Vstupy CBA'!G26)</f>
        <v>0</v>
      </c>
      <c r="E33" s="24">
        <f t="shared" si="10"/>
        <v>0</v>
      </c>
      <c r="F33" s="21" t="s">
        <v>36</v>
      </c>
      <c r="G33" s="22" t="s">
        <v>36</v>
      </c>
      <c r="H33" s="23" t="str">
        <f t="shared" si="8"/>
        <v>-</v>
      </c>
      <c r="I33" s="27">
        <f>0+'Vstupy CBA'!F71*'Vstupy CBA'!F11</f>
        <v>0</v>
      </c>
      <c r="J33" s="27">
        <f>IF(ISERR(Konštanty!$E$4*'Vstupy CBA'!G11*-1*('Vstupy CBA'!H56)),"-",Konštanty!$E$4*'Vstupy CBA'!G11*-1*'Vstupy CBA'!H56)</f>
        <v>2650363.6960441577</v>
      </c>
      <c r="K33" s="23">
        <f t="shared" si="11"/>
        <v>2650363.6960441577</v>
      </c>
      <c r="L33" s="3">
        <f>'Vstupy CBA'!F86</f>
        <v>0</v>
      </c>
      <c r="M33" s="3">
        <f>'Vstupy CBA'!G86</f>
        <v>0</v>
      </c>
      <c r="N33" s="24">
        <f t="shared" si="12"/>
        <v>0</v>
      </c>
      <c r="O33" s="25">
        <f t="shared" si="9"/>
        <v>0</v>
      </c>
      <c r="P33" s="27">
        <f t="shared" si="9"/>
        <v>0</v>
      </c>
      <c r="Q33" s="24">
        <f t="shared" si="13"/>
        <v>0</v>
      </c>
      <c r="R33" s="25">
        <f t="shared" si="14"/>
        <v>0</v>
      </c>
      <c r="S33" s="27">
        <f t="shared" si="14"/>
        <v>2650363.6960441577</v>
      </c>
      <c r="T33" s="24">
        <f t="shared" si="15"/>
        <v>2650363.6960441577</v>
      </c>
    </row>
    <row r="34" spans="1:20" ht="14">
      <c r="A34" s="20"/>
      <c r="B34" s="6">
        <v>11</v>
      </c>
      <c r="C34" s="21">
        <f>IF(ISERR('Vstupy CBA'!F12*'Vstupy CBA'!F27),"-",'Vstupy CBA'!F12*'Vstupy CBA'!F27)</f>
        <v>0</v>
      </c>
      <c r="D34" s="21">
        <f>IF(ISERR('Vstupy CBA'!G12*'Vstupy CBA'!G27),"-",'Vstupy CBA'!G12*'Vstupy CBA'!G27)</f>
        <v>0</v>
      </c>
      <c r="E34" s="24">
        <f t="shared" si="10"/>
        <v>0</v>
      </c>
      <c r="F34" s="21" t="s">
        <v>36</v>
      </c>
      <c r="G34" s="22" t="s">
        <v>36</v>
      </c>
      <c r="H34" s="23" t="str">
        <f t="shared" si="8"/>
        <v>-</v>
      </c>
      <c r="I34" s="27">
        <f>0+'Vstupy CBA'!F72*'Vstupy CBA'!F12</f>
        <v>0</v>
      </c>
      <c r="J34" s="27">
        <f>IF(ISERR(Konštanty!$E$4*'Vstupy CBA'!G12*-1*('Vstupy CBA'!H57)),"-",Konštanty!$E$4*'Vstupy CBA'!G12*-1*'Vstupy CBA'!H57)</f>
        <v>2650363.6960441577</v>
      </c>
      <c r="K34" s="23">
        <f t="shared" si="11"/>
        <v>2650363.6960441577</v>
      </c>
      <c r="L34" s="3">
        <f>'Vstupy CBA'!F87</f>
        <v>0</v>
      </c>
      <c r="M34" s="3">
        <f>'Vstupy CBA'!G87</f>
        <v>0</v>
      </c>
      <c r="N34" s="24">
        <f t="shared" si="12"/>
        <v>0</v>
      </c>
      <c r="O34" s="25">
        <f t="shared" si="9"/>
        <v>0</v>
      </c>
      <c r="P34" s="27">
        <f t="shared" si="9"/>
        <v>0</v>
      </c>
      <c r="Q34" s="24">
        <f t="shared" si="13"/>
        <v>0</v>
      </c>
      <c r="R34" s="25">
        <f t="shared" si="14"/>
        <v>0</v>
      </c>
      <c r="S34" s="27">
        <f t="shared" si="14"/>
        <v>2650363.6960441577</v>
      </c>
      <c r="T34" s="24">
        <f t="shared" si="15"/>
        <v>2650363.6960441577</v>
      </c>
    </row>
    <row r="35" spans="1:20" ht="14">
      <c r="A35" s="20"/>
      <c r="B35" s="6">
        <v>12</v>
      </c>
      <c r="C35" s="21">
        <f>IF(ISERR('Vstupy CBA'!F13*'Vstupy CBA'!F28),"-",'Vstupy CBA'!F13*'Vstupy CBA'!F28)</f>
        <v>0</v>
      </c>
      <c r="D35" s="21">
        <f>IF(ISERR('Vstupy CBA'!G13*'Vstupy CBA'!G28),"-",'Vstupy CBA'!G13*'Vstupy CBA'!G28)</f>
        <v>0</v>
      </c>
      <c r="E35" s="24">
        <f t="shared" si="10"/>
        <v>0</v>
      </c>
      <c r="F35" s="21" t="s">
        <v>36</v>
      </c>
      <c r="G35" s="22" t="s">
        <v>36</v>
      </c>
      <c r="H35" s="23" t="str">
        <f t="shared" si="8"/>
        <v>-</v>
      </c>
      <c r="I35" s="27">
        <f>0+'Vstupy CBA'!F73*'Vstupy CBA'!F13</f>
        <v>0</v>
      </c>
      <c r="J35" s="27">
        <f>IF(ISERR(Konštanty!$E$4*'Vstupy CBA'!G13*-1*('Vstupy CBA'!H58)),"-",Konštanty!$E$4*'Vstupy CBA'!G13*-1*'Vstupy CBA'!H58)</f>
        <v>2650363.6960441577</v>
      </c>
      <c r="K35" s="23">
        <f t="shared" si="11"/>
        <v>2650363.6960441577</v>
      </c>
      <c r="L35" s="3">
        <f>'Vstupy CBA'!F88</f>
        <v>0</v>
      </c>
      <c r="M35" s="3">
        <f>'Vstupy CBA'!G88</f>
        <v>0</v>
      </c>
      <c r="N35" s="24">
        <f t="shared" si="12"/>
        <v>0</v>
      </c>
      <c r="O35" s="25">
        <f t="shared" si="9"/>
        <v>0</v>
      </c>
      <c r="P35" s="27">
        <f t="shared" si="9"/>
        <v>0</v>
      </c>
      <c r="Q35" s="24">
        <f t="shared" si="13"/>
        <v>0</v>
      </c>
      <c r="R35" s="25">
        <f t="shared" si="14"/>
        <v>0</v>
      </c>
      <c r="S35" s="27">
        <f t="shared" si="14"/>
        <v>2650363.6960441577</v>
      </c>
      <c r="T35" s="24">
        <f t="shared" si="15"/>
        <v>2650363.6960441577</v>
      </c>
    </row>
    <row r="36" spans="1:20" ht="14">
      <c r="A36" s="20"/>
      <c r="B36" s="6">
        <v>13</v>
      </c>
      <c r="C36" s="21">
        <f>IF(ISERR('Vstupy CBA'!F14*'Vstupy CBA'!F29),"-",'Vstupy CBA'!F14*'Vstupy CBA'!F29)</f>
        <v>0</v>
      </c>
      <c r="D36" s="21">
        <f>IF(ISERR('Vstupy CBA'!G14*'Vstupy CBA'!G29),"-",'Vstupy CBA'!G14*'Vstupy CBA'!G29)</f>
        <v>0</v>
      </c>
      <c r="E36" s="24">
        <f t="shared" si="10"/>
        <v>0</v>
      </c>
      <c r="F36" s="21" t="s">
        <v>36</v>
      </c>
      <c r="G36" s="22" t="s">
        <v>36</v>
      </c>
      <c r="H36" s="23" t="str">
        <f t="shared" si="8"/>
        <v>-</v>
      </c>
      <c r="I36" s="27">
        <f>0+'Vstupy CBA'!F74*'Vstupy CBA'!F14</f>
        <v>0</v>
      </c>
      <c r="J36" s="27">
        <f>IF(ISERR(Konštanty!$E$4*'Vstupy CBA'!G14*-1*('Vstupy CBA'!H59)),"-",Konštanty!$E$4*'Vstupy CBA'!G14*-1*'Vstupy CBA'!H59)</f>
        <v>2650363.6960441577</v>
      </c>
      <c r="K36" s="23">
        <f t="shared" si="11"/>
        <v>2650363.6960441577</v>
      </c>
      <c r="L36" s="3">
        <f>'Vstupy CBA'!F89</f>
        <v>0</v>
      </c>
      <c r="M36" s="3">
        <f>'Vstupy CBA'!G89</f>
        <v>0</v>
      </c>
      <c r="N36" s="24">
        <f t="shared" si="12"/>
        <v>0</v>
      </c>
      <c r="O36" s="25">
        <f t="shared" si="9"/>
        <v>0</v>
      </c>
      <c r="P36" s="27">
        <f t="shared" si="9"/>
        <v>0</v>
      </c>
      <c r="Q36" s="24">
        <f t="shared" si="13"/>
        <v>0</v>
      </c>
      <c r="R36" s="25">
        <f t="shared" si="14"/>
        <v>0</v>
      </c>
      <c r="S36" s="27">
        <f t="shared" si="14"/>
        <v>2650363.6960441577</v>
      </c>
      <c r="T36" s="24">
        <f t="shared" si="15"/>
        <v>2650363.6960441577</v>
      </c>
    </row>
    <row r="37" spans="1:20" ht="14">
      <c r="A37" s="20"/>
      <c r="B37" s="6">
        <v>14</v>
      </c>
      <c r="C37" s="21">
        <f>IF(ISERR('Vstupy CBA'!F15*'Vstupy CBA'!F30),"-",'Vstupy CBA'!F15*'Vstupy CBA'!F30)</f>
        <v>0</v>
      </c>
      <c r="D37" s="21">
        <f>IF(ISERR('Vstupy CBA'!G15*'Vstupy CBA'!G30),"-",'Vstupy CBA'!G15*'Vstupy CBA'!G30)</f>
        <v>0</v>
      </c>
      <c r="E37" s="24">
        <f t="shared" si="10"/>
        <v>0</v>
      </c>
      <c r="F37" s="21" t="s">
        <v>36</v>
      </c>
      <c r="G37" s="22" t="s">
        <v>36</v>
      </c>
      <c r="H37" s="23" t="str">
        <f t="shared" si="8"/>
        <v>-</v>
      </c>
      <c r="I37" s="27">
        <f>0+'Vstupy CBA'!F75*'Vstupy CBA'!F15</f>
        <v>0</v>
      </c>
      <c r="J37" s="27">
        <f>IF(ISERR(Konštanty!$E$4*'Vstupy CBA'!G15*-1*('Vstupy CBA'!H60)),"-",Konštanty!$E$4*'Vstupy CBA'!G15*-1*'Vstupy CBA'!H60)</f>
        <v>2650363.6960441577</v>
      </c>
      <c r="K37" s="23">
        <f t="shared" si="11"/>
        <v>2650363.6960441577</v>
      </c>
      <c r="L37" s="3">
        <f>'Vstupy CBA'!F90</f>
        <v>0</v>
      </c>
      <c r="M37" s="3">
        <f>'Vstupy CBA'!G90</f>
        <v>0</v>
      </c>
      <c r="N37" s="24">
        <f t="shared" si="12"/>
        <v>0</v>
      </c>
      <c r="O37" s="25">
        <f t="shared" si="9"/>
        <v>0</v>
      </c>
      <c r="P37" s="27">
        <f t="shared" si="9"/>
        <v>0</v>
      </c>
      <c r="Q37" s="24">
        <f t="shared" si="13"/>
        <v>0</v>
      </c>
      <c r="R37" s="25">
        <f t="shared" si="14"/>
        <v>0</v>
      </c>
      <c r="S37" s="27">
        <f t="shared" si="14"/>
        <v>2650363.6960441577</v>
      </c>
      <c r="T37" s="24">
        <f t="shared" si="15"/>
        <v>2650363.6960441577</v>
      </c>
    </row>
    <row r="38" spans="1:20" ht="14">
      <c r="A38" s="28"/>
      <c r="B38" s="29">
        <v>15</v>
      </c>
      <c r="C38" s="30">
        <f>IF(ISERR('Vstupy CBA'!F16*'Vstupy CBA'!F31),"-",'Vstupy CBA'!F16*'Vstupy CBA'!F31)</f>
        <v>0</v>
      </c>
      <c r="D38" s="30">
        <f>IF(ISERR('Vstupy CBA'!G16*'Vstupy CBA'!G31),"-",'Vstupy CBA'!G16*'Vstupy CBA'!G31)</f>
        <v>0</v>
      </c>
      <c r="E38" s="33">
        <f t="shared" si="10"/>
        <v>0</v>
      </c>
      <c r="F38" s="30" t="s">
        <v>36</v>
      </c>
      <c r="G38" s="31" t="s">
        <v>36</v>
      </c>
      <c r="H38" s="32" t="str">
        <f t="shared" si="8"/>
        <v>-</v>
      </c>
      <c r="I38" s="31">
        <f>0+'Vstupy CBA'!F76*'Vstupy CBA'!F16</f>
        <v>0</v>
      </c>
      <c r="J38" s="35">
        <f>IF(ISERR(Konštanty!$E$4*'Vstupy CBA'!G16*-1*('Vstupy CBA'!H61)),"-",Konštanty!$E$4*'Vstupy CBA'!G16*-1*'Vstupy CBA'!H61)</f>
        <v>2650363.6960441577</v>
      </c>
      <c r="K38" s="35">
        <f t="shared" si="11"/>
        <v>2650363.6960441577</v>
      </c>
      <c r="L38" s="103">
        <f>'Vstupy CBA'!F91</f>
        <v>0</v>
      </c>
      <c r="M38" s="103">
        <f>'Vstupy CBA'!G91</f>
        <v>0</v>
      </c>
      <c r="N38" s="33">
        <f t="shared" si="12"/>
        <v>0</v>
      </c>
      <c r="O38" s="25">
        <f t="shared" si="9"/>
        <v>0</v>
      </c>
      <c r="P38" s="27">
        <f t="shared" si="9"/>
        <v>0</v>
      </c>
      <c r="Q38" s="24">
        <f t="shared" si="13"/>
        <v>0</v>
      </c>
      <c r="R38" s="25">
        <f t="shared" si="14"/>
        <v>0</v>
      </c>
      <c r="S38" s="27">
        <f t="shared" si="14"/>
        <v>2650363.6960441577</v>
      </c>
      <c r="T38" s="24">
        <f t="shared" si="15"/>
        <v>2650363.6960441577</v>
      </c>
    </row>
    <row r="39" spans="1:20">
      <c r="N39" s="37" t="s">
        <v>22</v>
      </c>
      <c r="O39" s="38">
        <f t="shared" ref="O39:T39" si="16">SUM(O24:O38)</f>
        <v>0</v>
      </c>
      <c r="P39" s="39">
        <f t="shared" si="16"/>
        <v>0</v>
      </c>
      <c r="Q39" s="40">
        <f t="shared" si="16"/>
        <v>0</v>
      </c>
      <c r="R39" s="38">
        <f t="shared" si="16"/>
        <v>0</v>
      </c>
      <c r="S39" s="39">
        <f t="shared" si="16"/>
        <v>30479182.504507817</v>
      </c>
      <c r="T39" s="40">
        <f t="shared" si="16"/>
        <v>30479182.504507817</v>
      </c>
    </row>
    <row r="41" spans="1:20" ht="27.75" customHeight="1">
      <c r="A41" s="42" t="s">
        <v>47</v>
      </c>
      <c r="B41" s="43"/>
      <c r="C41" s="153" t="s">
        <v>48</v>
      </c>
      <c r="D41" s="154"/>
      <c r="E41" s="154"/>
      <c r="F41" s="154"/>
      <c r="G41" s="154"/>
      <c r="H41" s="154"/>
      <c r="I41" s="157" t="s">
        <v>49</v>
      </c>
      <c r="J41" s="157"/>
      <c r="K41" s="157"/>
      <c r="L41" s="157"/>
      <c r="M41" s="158"/>
    </row>
    <row r="42" spans="1:20" ht="51" customHeight="1">
      <c r="A42" s="7"/>
      <c r="B42" s="7"/>
      <c r="C42" s="159" t="s">
        <v>45</v>
      </c>
      <c r="D42" s="160"/>
      <c r="E42" s="161"/>
      <c r="F42" s="159" t="s">
        <v>46</v>
      </c>
      <c r="G42" s="160"/>
      <c r="H42" s="161"/>
      <c r="I42" s="10" t="s">
        <v>50</v>
      </c>
      <c r="J42" s="44" t="s">
        <v>51</v>
      </c>
      <c r="K42" s="44" t="s">
        <v>52</v>
      </c>
      <c r="L42" s="163" t="s">
        <v>53</v>
      </c>
      <c r="M42" s="163"/>
    </row>
    <row r="43" spans="1:20">
      <c r="A43" s="7"/>
      <c r="B43" s="45" t="s">
        <v>32</v>
      </c>
      <c r="C43" s="13" t="s">
        <v>33</v>
      </c>
      <c r="D43" s="14" t="s">
        <v>34</v>
      </c>
      <c r="E43" s="16" t="s">
        <v>35</v>
      </c>
      <c r="F43" s="13" t="s">
        <v>33</v>
      </c>
      <c r="G43" s="14" t="s">
        <v>34</v>
      </c>
      <c r="H43" s="16" t="s">
        <v>35</v>
      </c>
      <c r="I43" s="10"/>
      <c r="J43" s="10"/>
      <c r="K43" s="10"/>
      <c r="L43" s="162"/>
      <c r="M43" s="163"/>
    </row>
    <row r="44" spans="1:20">
      <c r="A44" s="20"/>
      <c r="B44" s="20">
        <v>1</v>
      </c>
      <c r="C44" s="25">
        <f t="shared" ref="C44:D58" si="17">O24-R4</f>
        <v>-1825025.2533333332</v>
      </c>
      <c r="D44" s="27">
        <f t="shared" si="17"/>
        <v>-7825025.2533333329</v>
      </c>
      <c r="E44" s="24">
        <f>D44-C44</f>
        <v>-6000000</v>
      </c>
      <c r="F44" s="25">
        <f>R24-R4</f>
        <v>-1825025.2533333332</v>
      </c>
      <c r="G44" s="27">
        <f>S24-S4</f>
        <v>-7825025.2533333329</v>
      </c>
      <c r="H44" s="24">
        <f t="shared" ref="H44:H58" si="18">G44-F44</f>
        <v>-6000000</v>
      </c>
      <c r="I44" s="27">
        <v>0</v>
      </c>
      <c r="J44" s="27">
        <f>E44*(1/(1+Konštanty!$E$2)^I44)</f>
        <v>-6000000</v>
      </c>
      <c r="K44" s="27">
        <f>H44*(1/(1+Konštanty!$E$2)^I44)</f>
        <v>-6000000</v>
      </c>
      <c r="L44" s="46">
        <f>K44</f>
        <v>-6000000</v>
      </c>
      <c r="M44" s="47" t="str">
        <f>IF(L44&gt;0,"Rok návratu investície","&lt;")</f>
        <v>&lt;</v>
      </c>
    </row>
    <row r="45" spans="1:20">
      <c r="A45" s="20"/>
      <c r="B45" s="20">
        <v>2</v>
      </c>
      <c r="C45" s="25">
        <f t="shared" si="17"/>
        <v>-1825025.2533333332</v>
      </c>
      <c r="D45" s="27">
        <f t="shared" si="17"/>
        <v>-7825025.2533333329</v>
      </c>
      <c r="E45" s="24">
        <f t="shared" ref="E45:E58" si="19">D45-C45</f>
        <v>-6000000</v>
      </c>
      <c r="F45" s="25">
        <f t="shared" ref="F45:G45" si="20">R25-R5</f>
        <v>-1825025.2533333332</v>
      </c>
      <c r="G45" s="27">
        <f t="shared" si="20"/>
        <v>-7825025.2533333329</v>
      </c>
      <c r="H45" s="24">
        <f t="shared" si="18"/>
        <v>-6000000</v>
      </c>
      <c r="I45" s="27">
        <v>1</v>
      </c>
      <c r="J45" s="27">
        <f>E45*(1/(1+Konštanty!$E$2)^I45)</f>
        <v>-5687203.791469194</v>
      </c>
      <c r="K45" s="27">
        <f>H45*(1/(1+Konštanty!$E$2)^I45)</f>
        <v>-5687203.791469194</v>
      </c>
      <c r="L45" s="46">
        <f>K45+L44</f>
        <v>-11687203.791469194</v>
      </c>
      <c r="M45" s="47" t="str">
        <f>IF(M44="&lt;",IF(L45&gt;0,"Rok návratu investície","&lt;"),"&lt;")</f>
        <v>&lt;</v>
      </c>
    </row>
    <row r="46" spans="1:20">
      <c r="A46" s="20"/>
      <c r="B46" s="20">
        <v>3</v>
      </c>
      <c r="C46" s="25">
        <f t="shared" si="17"/>
        <v>-1825025.2533333332</v>
      </c>
      <c r="D46" s="27">
        <f t="shared" si="17"/>
        <v>-2352512.6266666665</v>
      </c>
      <c r="E46" s="24">
        <f t="shared" si="19"/>
        <v>-527487.37333333329</v>
      </c>
      <c r="F46" s="25">
        <f t="shared" ref="F46:G46" si="21">R26-R6</f>
        <v>-1825025.2533333332</v>
      </c>
      <c r="G46" s="27">
        <f t="shared" si="21"/>
        <v>-1027330.7786445876</v>
      </c>
      <c r="H46" s="24">
        <f t="shared" si="18"/>
        <v>797694.47468874557</v>
      </c>
      <c r="I46" s="27">
        <v>2</v>
      </c>
      <c r="J46" s="27">
        <f>E46*(1/(1+Konštanty!$E$2)^I46)</f>
        <v>-473922.30482993048</v>
      </c>
      <c r="K46" s="27">
        <f>H46*(1/(1+Konštanty!$E$2)^I46)</f>
        <v>716690.52778576012</v>
      </c>
      <c r="L46" s="46">
        <f t="shared" ref="L46:L58" si="22">K46+L45</f>
        <v>-10970513.263683435</v>
      </c>
      <c r="M46" s="47" t="str">
        <f t="shared" ref="M46:M58" si="23">IF(M45="&lt;",IF(L46&gt;0,"Rok návratu investície","&lt;"),"&gt;")</f>
        <v>&lt;</v>
      </c>
    </row>
    <row r="47" spans="1:20">
      <c r="A47" s="20"/>
      <c r="B47" s="20">
        <v>4</v>
      </c>
      <c r="C47" s="25">
        <f t="shared" si="17"/>
        <v>-1825025.2533333332</v>
      </c>
      <c r="D47" s="27">
        <f t="shared" si="17"/>
        <v>-2170010.1013333332</v>
      </c>
      <c r="E47" s="24">
        <f t="shared" si="19"/>
        <v>-344984.848</v>
      </c>
      <c r="F47" s="25">
        <f t="shared" ref="F47:G47" si="24">R27-R7</f>
        <v>-1825025.2533333332</v>
      </c>
      <c r="G47" s="27">
        <f t="shared" si="24"/>
        <v>-579791.88370683859</v>
      </c>
      <c r="H47" s="24">
        <f t="shared" si="18"/>
        <v>1245233.3696264946</v>
      </c>
      <c r="I47" s="27">
        <v>3</v>
      </c>
      <c r="J47" s="27">
        <f>E47*(1/(1+Konštanty!$E$2)^I47)</f>
        <v>-293793.81049317913</v>
      </c>
      <c r="K47" s="27">
        <f>H47*(1/(1+Konštanty!$E$2)^I47)</f>
        <v>1060457.7526715875</v>
      </c>
      <c r="L47" s="46">
        <f t="shared" si="22"/>
        <v>-9910055.5110118464</v>
      </c>
      <c r="M47" s="47" t="str">
        <f t="shared" si="23"/>
        <v>&lt;</v>
      </c>
    </row>
    <row r="48" spans="1:20">
      <c r="A48" s="20"/>
      <c r="B48" s="20">
        <v>5</v>
      </c>
      <c r="C48" s="25">
        <f t="shared" si="17"/>
        <v>-1825025.2533333332</v>
      </c>
      <c r="D48" s="27">
        <f t="shared" si="17"/>
        <v>-1987507.5759999999</v>
      </c>
      <c r="E48" s="24">
        <f t="shared" si="19"/>
        <v>-162482.3226666667</v>
      </c>
      <c r="F48" s="25">
        <f t="shared" ref="F48:G48" si="25">R28-R8</f>
        <v>-1825025.2533333332</v>
      </c>
      <c r="G48" s="27">
        <f t="shared" si="25"/>
        <v>-132252.98876908957</v>
      </c>
      <c r="H48" s="24">
        <f t="shared" si="18"/>
        <v>1692772.2645642436</v>
      </c>
      <c r="I48" s="27">
        <v>4</v>
      </c>
      <c r="J48" s="27">
        <f>E48*(1/(1+Konštanty!$E$2)^I48)</f>
        <v>-131158.4513471642</v>
      </c>
      <c r="K48" s="27">
        <f>H48*(1/(1+Konštanty!$E$2)^I48)</f>
        <v>1366434.1145538415</v>
      </c>
      <c r="L48" s="46">
        <f t="shared" si="22"/>
        <v>-8543621.3964580055</v>
      </c>
      <c r="M48" s="47" t="str">
        <f t="shared" si="23"/>
        <v>&lt;</v>
      </c>
    </row>
    <row r="49" spans="1:13">
      <c r="A49" s="20"/>
      <c r="B49" s="20">
        <v>6</v>
      </c>
      <c r="C49" s="25">
        <f t="shared" si="17"/>
        <v>-1825025.2533333332</v>
      </c>
      <c r="D49" s="27">
        <f t="shared" si="17"/>
        <v>-1805005.0506666666</v>
      </c>
      <c r="E49" s="24">
        <f t="shared" si="19"/>
        <v>20020.202666666592</v>
      </c>
      <c r="F49" s="25">
        <f t="shared" ref="F49:G49" si="26">R29-R9</f>
        <v>-1825025.2533333332</v>
      </c>
      <c r="G49" s="27">
        <f t="shared" si="26"/>
        <v>315285.90616865968</v>
      </c>
      <c r="H49" s="24">
        <f t="shared" si="18"/>
        <v>2140311.1595019931</v>
      </c>
      <c r="I49" s="27">
        <v>5</v>
      </c>
      <c r="J49" s="27">
        <f>E49*(1/(1+Konštanty!$E$2)^I49)</f>
        <v>15318.144831124795</v>
      </c>
      <c r="K49" s="27">
        <f>H49*(1/(1+Konštanty!$E$2)^I49)</f>
        <v>1637625.5960441306</v>
      </c>
      <c r="L49" s="46">
        <f t="shared" si="22"/>
        <v>-6905995.8004138749</v>
      </c>
      <c r="M49" s="47" t="str">
        <f t="shared" si="23"/>
        <v>&lt;</v>
      </c>
    </row>
    <row r="50" spans="1:13">
      <c r="A50" s="20"/>
      <c r="B50" s="20">
        <v>7</v>
      </c>
      <c r="C50" s="25">
        <f t="shared" si="17"/>
        <v>-1825025.2533333332</v>
      </c>
      <c r="D50" s="27">
        <f t="shared" si="17"/>
        <v>-2606502.5253333333</v>
      </c>
      <c r="E50" s="24">
        <f t="shared" si="19"/>
        <v>-781477.27200000011</v>
      </c>
      <c r="F50" s="25">
        <f t="shared" ref="F50:G50" si="27">R30-R10</f>
        <v>-1825025.2533333332</v>
      </c>
      <c r="G50" s="27">
        <f t="shared" si="27"/>
        <v>-221175.1988935913</v>
      </c>
      <c r="H50" s="24">
        <f t="shared" si="18"/>
        <v>1603850.0544397419</v>
      </c>
      <c r="I50" s="27">
        <v>6</v>
      </c>
      <c r="J50" s="27">
        <f>E50*(1/(1+Konštanty!$E$2)^I50)</f>
        <v>-566763.13512142934</v>
      </c>
      <c r="K50" s="27">
        <f>H50*(1/(1+Konštanty!$E$2)^I50)</f>
        <v>1163185.5687786951</v>
      </c>
      <c r="L50" s="46">
        <f t="shared" si="22"/>
        <v>-5742810.2316351794</v>
      </c>
      <c r="M50" s="47" t="str">
        <f t="shared" si="23"/>
        <v>&lt;</v>
      </c>
    </row>
    <row r="51" spans="1:13">
      <c r="A51" s="20"/>
      <c r="B51" s="20">
        <v>8</v>
      </c>
      <c r="C51" s="25">
        <f t="shared" si="17"/>
        <v>-1825025.2533333332</v>
      </c>
      <c r="D51" s="27">
        <f t="shared" si="17"/>
        <v>-1440000</v>
      </c>
      <c r="E51" s="24">
        <f t="shared" si="19"/>
        <v>385025.25333333318</v>
      </c>
      <c r="F51" s="25">
        <f t="shared" ref="F51:G51" si="28">R31-R11</f>
        <v>-1825025.2533333332</v>
      </c>
      <c r="G51" s="27">
        <f t="shared" si="28"/>
        <v>1210363.6960441577</v>
      </c>
      <c r="H51" s="24">
        <f t="shared" si="18"/>
        <v>3035388.9493774911</v>
      </c>
      <c r="I51" s="27">
        <v>7</v>
      </c>
      <c r="J51" s="27">
        <f>E51*(1/(1+Konštanty!$E$2)^I51)</f>
        <v>264680.53136420815</v>
      </c>
      <c r="K51" s="27">
        <f>H51*(1/(1+Konštanty!$E$2)^I51)</f>
        <v>2086638.092080506</v>
      </c>
      <c r="L51" s="46">
        <f t="shared" si="22"/>
        <v>-3656172.1395546733</v>
      </c>
      <c r="M51" s="47" t="str">
        <f t="shared" si="23"/>
        <v>&lt;</v>
      </c>
    </row>
    <row r="52" spans="1:13">
      <c r="A52" s="20"/>
      <c r="B52" s="20">
        <v>9</v>
      </c>
      <c r="C52" s="25">
        <f t="shared" si="17"/>
        <v>-1825025.2533333332</v>
      </c>
      <c r="D52" s="27">
        <f t="shared" si="17"/>
        <v>-1440000</v>
      </c>
      <c r="E52" s="24">
        <f t="shared" si="19"/>
        <v>385025.25333333318</v>
      </c>
      <c r="F52" s="25">
        <f t="shared" ref="F52:G52" si="29">R32-R12</f>
        <v>-1825025.2533333332</v>
      </c>
      <c r="G52" s="27">
        <f t="shared" si="29"/>
        <v>1210363.6960441577</v>
      </c>
      <c r="H52" s="24">
        <f t="shared" si="18"/>
        <v>3035388.9493774911</v>
      </c>
      <c r="I52" s="27">
        <v>8</v>
      </c>
      <c r="J52" s="27">
        <f>E52*(1/(1+Konštanty!$E$2)^I52)</f>
        <v>250882.02025043426</v>
      </c>
      <c r="K52" s="27">
        <f>H52*(1/(1+Konštanty!$E$2)^I52)</f>
        <v>1977856.0114507168</v>
      </c>
      <c r="L52" s="46">
        <f t="shared" si="22"/>
        <v>-1678316.1281039566</v>
      </c>
      <c r="M52" s="47" t="str">
        <f t="shared" si="23"/>
        <v>&lt;</v>
      </c>
    </row>
    <row r="53" spans="1:13">
      <c r="A53" s="20"/>
      <c r="B53" s="20">
        <v>10</v>
      </c>
      <c r="C53" s="25">
        <f t="shared" si="17"/>
        <v>-1825025.2533333332</v>
      </c>
      <c r="D53" s="27">
        <f t="shared" si="17"/>
        <v>-1440000</v>
      </c>
      <c r="E53" s="24">
        <f t="shared" si="19"/>
        <v>385025.25333333318</v>
      </c>
      <c r="F53" s="25">
        <f t="shared" ref="F53:G53" si="30">R33-R13</f>
        <v>-1825025.2533333332</v>
      </c>
      <c r="G53" s="27">
        <f t="shared" si="30"/>
        <v>1210363.6960441577</v>
      </c>
      <c r="H53" s="24">
        <f t="shared" si="18"/>
        <v>3035388.9493774911</v>
      </c>
      <c r="I53" s="27">
        <v>9</v>
      </c>
      <c r="J53" s="27">
        <f>E53*(1/(1+Konštanty!$E$2)^I53)</f>
        <v>237802.86279662015</v>
      </c>
      <c r="K53" s="27">
        <f>H53*(1/(1+Konštanty!$E$2)^I53)</f>
        <v>1874745.0345504424</v>
      </c>
      <c r="L53" s="46">
        <f t="shared" si="22"/>
        <v>196428.90644648578</v>
      </c>
      <c r="M53" s="47" t="str">
        <f t="shared" si="23"/>
        <v>Rok návratu investície</v>
      </c>
    </row>
    <row r="54" spans="1:13">
      <c r="A54" s="20"/>
      <c r="B54" s="20">
        <v>11</v>
      </c>
      <c r="C54" s="25">
        <f t="shared" si="17"/>
        <v>-1825025.2533333332</v>
      </c>
      <c r="D54" s="27">
        <f t="shared" si="17"/>
        <v>-1440000</v>
      </c>
      <c r="E54" s="24">
        <f t="shared" si="19"/>
        <v>385025.25333333318</v>
      </c>
      <c r="F54" s="25">
        <f t="shared" ref="F54:G54" si="31">R34-R14</f>
        <v>-1825025.2533333332</v>
      </c>
      <c r="G54" s="27">
        <f t="shared" si="31"/>
        <v>1210363.6960441577</v>
      </c>
      <c r="H54" s="24">
        <f t="shared" si="18"/>
        <v>3035388.9493774911</v>
      </c>
      <c r="I54" s="27">
        <v>10</v>
      </c>
      <c r="J54" s="27">
        <f>E54*(1/(1+Konštanty!$E$2)^I54)</f>
        <v>225405.55715319447</v>
      </c>
      <c r="K54" s="27">
        <f>H54*(1/(1+Konštanty!$E$2)^I54)</f>
        <v>1777009.5114222202</v>
      </c>
      <c r="L54" s="46">
        <f t="shared" si="22"/>
        <v>1973438.4178687059</v>
      </c>
      <c r="M54" s="47" t="str">
        <f t="shared" si="23"/>
        <v>&gt;</v>
      </c>
    </row>
    <row r="55" spans="1:13">
      <c r="A55" s="20"/>
      <c r="B55" s="20">
        <v>12</v>
      </c>
      <c r="C55" s="25">
        <f t="shared" si="17"/>
        <v>-1825025.2533333332</v>
      </c>
      <c r="D55" s="27">
        <f t="shared" si="17"/>
        <v>-2424000</v>
      </c>
      <c r="E55" s="24">
        <f t="shared" si="19"/>
        <v>-598974.74666666682</v>
      </c>
      <c r="F55" s="25">
        <f t="shared" ref="F55:G55" si="32">R35-R15</f>
        <v>-1825025.2533333332</v>
      </c>
      <c r="G55" s="27">
        <f t="shared" si="32"/>
        <v>226363.69604415772</v>
      </c>
      <c r="H55" s="24">
        <f t="shared" si="18"/>
        <v>2051388.9493774909</v>
      </c>
      <c r="I55" s="27">
        <v>11</v>
      </c>
      <c r="J55" s="27">
        <f>E55*(1/(1+Konštanty!$E$2)^I55)</f>
        <v>-332377.37725456961</v>
      </c>
      <c r="K55" s="27">
        <f>H55*(1/(1+Konštanty!$E$2)^I55)</f>
        <v>1138337.2713416633</v>
      </c>
      <c r="L55" s="46">
        <f t="shared" si="22"/>
        <v>3111775.6892103693</v>
      </c>
      <c r="M55" s="47" t="str">
        <f t="shared" si="23"/>
        <v>&gt;</v>
      </c>
    </row>
    <row r="56" spans="1:13">
      <c r="A56" s="20"/>
      <c r="B56" s="20">
        <v>13</v>
      </c>
      <c r="C56" s="25">
        <f t="shared" si="17"/>
        <v>-1825025.2533333332</v>
      </c>
      <c r="D56" s="27">
        <f t="shared" si="17"/>
        <v>-1440000</v>
      </c>
      <c r="E56" s="24">
        <f t="shared" si="19"/>
        <v>385025.25333333318</v>
      </c>
      <c r="F56" s="25">
        <f t="shared" ref="F56:G56" si="33">R36-R16</f>
        <v>-1825025.2533333332</v>
      </c>
      <c r="G56" s="27">
        <f t="shared" si="33"/>
        <v>1210363.6960441577</v>
      </c>
      <c r="H56" s="24">
        <f t="shared" si="18"/>
        <v>3035388.9493774911</v>
      </c>
      <c r="I56" s="27">
        <v>12</v>
      </c>
      <c r="J56" s="27">
        <f>E56*(1/(1+Konštanty!$E$2)^I56)</f>
        <v>202516.16733963255</v>
      </c>
      <c r="K56" s="27">
        <f>H56*(1/(1+Konštanty!$E$2)^I56)</f>
        <v>1596558.4882839294</v>
      </c>
      <c r="L56" s="46">
        <f t="shared" si="22"/>
        <v>4708334.1774942987</v>
      </c>
      <c r="M56" s="47" t="str">
        <f t="shared" si="23"/>
        <v>&gt;</v>
      </c>
    </row>
    <row r="57" spans="1:13">
      <c r="A57" s="20"/>
      <c r="B57" s="20">
        <v>14</v>
      </c>
      <c r="C57" s="25">
        <f t="shared" si="17"/>
        <v>-1825025.2533333332</v>
      </c>
      <c r="D57" s="27">
        <f t="shared" si="17"/>
        <v>-1440000</v>
      </c>
      <c r="E57" s="24">
        <f t="shared" si="19"/>
        <v>385025.25333333318</v>
      </c>
      <c r="F57" s="25">
        <f t="shared" ref="F57:G57" si="34">R37-R17</f>
        <v>-1825025.2533333332</v>
      </c>
      <c r="G57" s="27">
        <f t="shared" si="34"/>
        <v>1210363.6960441577</v>
      </c>
      <c r="H57" s="24">
        <f t="shared" si="18"/>
        <v>3035388.9493774911</v>
      </c>
      <c r="I57" s="27">
        <v>13</v>
      </c>
      <c r="J57" s="27">
        <f>E57*(1/(1+Konštanty!$E$2)^I57)</f>
        <v>191958.45245462799</v>
      </c>
      <c r="K57" s="27">
        <f>H57*(1/(1+Konštanty!$E$2)^I57)</f>
        <v>1513325.5813117814</v>
      </c>
      <c r="L57" s="46">
        <f t="shared" si="22"/>
        <v>6221659.7588060796</v>
      </c>
      <c r="M57" s="47" t="str">
        <f t="shared" si="23"/>
        <v>&gt;</v>
      </c>
    </row>
    <row r="58" spans="1:13">
      <c r="A58" s="28"/>
      <c r="B58" s="28">
        <v>15</v>
      </c>
      <c r="C58" s="34">
        <f t="shared" si="17"/>
        <v>-1825025.2533333332</v>
      </c>
      <c r="D58" s="36">
        <f t="shared" si="17"/>
        <v>-1440000</v>
      </c>
      <c r="E58" s="33">
        <f t="shared" si="19"/>
        <v>385025.25333333318</v>
      </c>
      <c r="F58" s="34">
        <f t="shared" ref="F58:G58" si="35">R38-R18</f>
        <v>-1825025.2533333332</v>
      </c>
      <c r="G58" s="36">
        <f t="shared" si="35"/>
        <v>1210363.6960441577</v>
      </c>
      <c r="H58" s="33">
        <f t="shared" si="18"/>
        <v>3035388.9493774911</v>
      </c>
      <c r="I58" s="36">
        <v>14</v>
      </c>
      <c r="J58" s="36">
        <f>E58*(1/(1+Konštanty!$E$2)^I58)</f>
        <v>181951.1397674199</v>
      </c>
      <c r="K58" s="36">
        <f>H58*(1/(1+Konštanty!$E$2)^I58)</f>
        <v>1434431.830627281</v>
      </c>
      <c r="L58" s="48">
        <f t="shared" si="22"/>
        <v>7656091.5894333608</v>
      </c>
      <c r="M58" s="49" t="str">
        <f t="shared" si="23"/>
        <v>&gt;</v>
      </c>
    </row>
    <row r="59" spans="1:13">
      <c r="B59" s="37" t="s">
        <v>22</v>
      </c>
      <c r="C59" s="50">
        <f t="shared" ref="C59:H59" si="36">SUM(C44:C58)</f>
        <v>-27375378.800000004</v>
      </c>
      <c r="D59" s="51">
        <f t="shared" si="36"/>
        <v>-39075588.38666667</v>
      </c>
      <c r="E59" s="52">
        <f t="shared" si="36"/>
        <v>-11700209.586666662</v>
      </c>
      <c r="F59" s="51">
        <f t="shared" si="36"/>
        <v>-27375378.800000004</v>
      </c>
      <c r="G59" s="51">
        <f t="shared" si="36"/>
        <v>-8596405.8821588494</v>
      </c>
      <c r="H59" s="52">
        <f t="shared" si="36"/>
        <v>18778972.917841151</v>
      </c>
      <c r="I59" s="53" t="s">
        <v>22</v>
      </c>
      <c r="J59" s="54">
        <f>SUM(J44:J58)</f>
        <v>-11914703.994558206</v>
      </c>
      <c r="K59" s="52">
        <f>SUM(K44:K58)</f>
        <v>7656091.5894333608</v>
      </c>
      <c r="L59" s="52"/>
    </row>
    <row r="61" spans="1:13">
      <c r="J61" s="95" t="s">
        <v>115</v>
      </c>
      <c r="K61" s="126">
        <f>IRR(K44:K58)</f>
        <v>6.9590333209468724E-2</v>
      </c>
    </row>
    <row r="62" spans="1:13">
      <c r="J62" s="55"/>
      <c r="K62" s="56"/>
    </row>
    <row r="63" spans="1:13">
      <c r="J63" s="57"/>
      <c r="K63" s="58"/>
    </row>
    <row r="64" spans="1:13">
      <c r="J64" s="57"/>
      <c r="K64" s="59"/>
    </row>
  </sheetData>
  <mergeCells count="23">
    <mergeCell ref="L43:M43"/>
    <mergeCell ref="C21:E21"/>
    <mergeCell ref="F21:N21"/>
    <mergeCell ref="O21:T21"/>
    <mergeCell ref="C22:E22"/>
    <mergeCell ref="F22:H22"/>
    <mergeCell ref="I22:K22"/>
    <mergeCell ref="L22:N22"/>
    <mergeCell ref="O22:Q22"/>
    <mergeCell ref="R22:T22"/>
    <mergeCell ref="C41:H41"/>
    <mergeCell ref="I41:M41"/>
    <mergeCell ref="C42:E42"/>
    <mergeCell ref="F42:H42"/>
    <mergeCell ref="L42:M42"/>
    <mergeCell ref="C1:K1"/>
    <mergeCell ref="L1:Q1"/>
    <mergeCell ref="R1:T1"/>
    <mergeCell ref="C2:E2"/>
    <mergeCell ref="F2:H2"/>
    <mergeCell ref="I2:K2"/>
    <mergeCell ref="L2:N2"/>
    <mergeCell ref="O2:Q2"/>
  </mergeCells>
  <conditionalFormatting sqref="M44:M58">
    <cfRule type="cellIs" dxfId="0" priority="1" stopIfTrue="1" operator="equal">
      <formula>"Rok návratu investície"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scale="52" fitToHeight="100" orientation="landscape"/>
  <headerFooter alignWithMargins="0">
    <oddHeader>&amp;C&amp;A&amp;RMinisterstvo financií Slovenskej republiky</oddHeader>
    <oddFooter>&amp;L&amp;F&amp;C&amp;P /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Inštrukcie na vypĺňanie</vt:lpstr>
      <vt:lpstr>Konštanty</vt:lpstr>
      <vt:lpstr>eSluzby</vt:lpstr>
      <vt:lpstr>Vstupy CBA</vt:lpstr>
      <vt:lpstr>Výpočet CBA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Gáži Richard</dc:creator>
  <cp:lastModifiedBy>Tomáš Keruľ</cp:lastModifiedBy>
  <cp:lastPrinted>2013-01-23T08:30:33Z</cp:lastPrinted>
  <dcterms:created xsi:type="dcterms:W3CDTF">2010-08-10T07:03:40Z</dcterms:created>
  <dcterms:modified xsi:type="dcterms:W3CDTF">2015-10-30T16:03:39Z</dcterms:modified>
</cp:coreProperties>
</file>